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8_{3F3C7354-8BE5-498A-A80D-05FF15B04EDC}" xr6:coauthVersionLast="31" xr6:coauthVersionMax="31" xr10:uidLastSave="{00000000-0000-0000-0000-000000000000}"/>
  <bookViews>
    <workbookView xWindow="0" yWindow="0" windowWidth="28800" windowHeight="12870" xr2:uid="{00000000-000D-0000-FFFF-FFFF00000000}"/>
  </bookViews>
  <sheets>
    <sheet name="Sheet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" i="1" l="1"/>
  <c r="N2" i="1"/>
  <c r="S2" i="1"/>
  <c r="U2" i="1"/>
  <c r="T2" i="1"/>
  <c r="R3" i="1"/>
  <c r="S3" i="1"/>
  <c r="T3" i="1"/>
  <c r="R4" i="1"/>
  <c r="N4" i="1"/>
  <c r="S4" i="1"/>
  <c r="T4" i="1"/>
  <c r="R5" i="1"/>
  <c r="N5" i="1"/>
  <c r="S5" i="1"/>
  <c r="T5" i="1"/>
  <c r="R6" i="1"/>
  <c r="N6" i="1"/>
  <c r="S6" i="1"/>
  <c r="T6" i="1"/>
  <c r="R7" i="1"/>
  <c r="N7" i="1"/>
  <c r="S7" i="1"/>
  <c r="T7" i="1"/>
  <c r="R8" i="1"/>
  <c r="N8" i="1"/>
  <c r="S8" i="1"/>
  <c r="T8" i="1"/>
  <c r="R9" i="1"/>
  <c r="N9" i="1"/>
  <c r="S9" i="1"/>
  <c r="T9" i="1"/>
  <c r="R10" i="1"/>
  <c r="N10" i="1"/>
  <c r="S10" i="1"/>
  <c r="T10" i="1"/>
  <c r="R11" i="1"/>
  <c r="N11" i="1"/>
  <c r="S11" i="1"/>
  <c r="T11" i="1"/>
  <c r="T12" i="1"/>
  <c r="T13" i="1"/>
  <c r="V2" i="1"/>
  <c r="U3" i="1"/>
  <c r="V3" i="1"/>
  <c r="U4" i="1"/>
  <c r="V4" i="1"/>
  <c r="U5" i="1"/>
  <c r="V5" i="1"/>
  <c r="U6" i="1"/>
  <c r="V6" i="1"/>
  <c r="U7" i="1"/>
  <c r="V7" i="1"/>
  <c r="U8" i="1"/>
  <c r="V8" i="1"/>
  <c r="U9" i="1"/>
  <c r="V9" i="1"/>
  <c r="U10" i="1"/>
  <c r="V10" i="1"/>
  <c r="U11" i="1"/>
  <c r="V11" i="1"/>
  <c r="V12" i="1"/>
  <c r="N18" i="1"/>
  <c r="N21" i="1"/>
  <c r="N47" i="1"/>
  <c r="X47" i="1"/>
  <c r="N20" i="1"/>
  <c r="N46" i="1"/>
  <c r="X46" i="1"/>
  <c r="N22" i="1"/>
  <c r="N48" i="1"/>
  <c r="X48" i="1"/>
  <c r="N33" i="1"/>
  <c r="N34" i="1"/>
  <c r="N35" i="1"/>
  <c r="N23" i="1"/>
  <c r="N36" i="1"/>
  <c r="N24" i="1"/>
  <c r="N37" i="1"/>
  <c r="N25" i="1"/>
  <c r="N38" i="1"/>
  <c r="N26" i="1"/>
  <c r="N39" i="1"/>
  <c r="N27" i="1"/>
  <c r="N40" i="1"/>
  <c r="N28" i="1"/>
  <c r="N41" i="1"/>
  <c r="N29" i="1"/>
  <c r="N42" i="1"/>
  <c r="N43" i="1"/>
  <c r="N49" i="1"/>
  <c r="X49" i="1"/>
  <c r="N50" i="1"/>
  <c r="X50" i="1"/>
  <c r="N51" i="1"/>
  <c r="X51" i="1"/>
  <c r="N52" i="1"/>
  <c r="X52" i="1"/>
  <c r="N53" i="1"/>
  <c r="X53" i="1"/>
  <c r="N54" i="1"/>
  <c r="X54" i="1"/>
  <c r="N55" i="1"/>
  <c r="X55" i="1"/>
  <c r="X57" i="1"/>
  <c r="X60" i="1"/>
  <c r="D39" i="1"/>
  <c r="O21" i="1"/>
  <c r="O47" i="1"/>
  <c r="Y47" i="1"/>
  <c r="O20" i="1"/>
  <c r="O46" i="1"/>
  <c r="Y46" i="1"/>
  <c r="O22" i="1"/>
  <c r="O48" i="1"/>
  <c r="Y48" i="1"/>
  <c r="O33" i="1"/>
  <c r="O34" i="1"/>
  <c r="O35" i="1"/>
  <c r="O23" i="1"/>
  <c r="O36" i="1"/>
  <c r="O24" i="1"/>
  <c r="O37" i="1"/>
  <c r="O25" i="1"/>
  <c r="O38" i="1"/>
  <c r="O26" i="1"/>
  <c r="O39" i="1"/>
  <c r="O27" i="1"/>
  <c r="O40" i="1"/>
  <c r="O28" i="1"/>
  <c r="O41" i="1"/>
  <c r="O29" i="1"/>
  <c r="O42" i="1"/>
  <c r="O43" i="1"/>
  <c r="O49" i="1"/>
  <c r="Y49" i="1"/>
  <c r="O50" i="1"/>
  <c r="Y50" i="1"/>
  <c r="O51" i="1"/>
  <c r="Y51" i="1"/>
  <c r="O52" i="1"/>
  <c r="Y52" i="1"/>
  <c r="O53" i="1"/>
  <c r="Y53" i="1"/>
  <c r="O54" i="1"/>
  <c r="Y54" i="1"/>
  <c r="O55" i="1"/>
  <c r="Y55" i="1"/>
  <c r="Y57" i="1"/>
  <c r="Y60" i="1"/>
  <c r="E39" i="1"/>
  <c r="P18" i="1"/>
  <c r="P21" i="1"/>
  <c r="P47" i="1"/>
  <c r="Z47" i="1"/>
  <c r="P20" i="1"/>
  <c r="P46" i="1"/>
  <c r="Z46" i="1"/>
  <c r="P22" i="1"/>
  <c r="P48" i="1"/>
  <c r="Z48" i="1"/>
  <c r="P33" i="1"/>
  <c r="P34" i="1"/>
  <c r="P35" i="1"/>
  <c r="P23" i="1"/>
  <c r="P36" i="1"/>
  <c r="P24" i="1"/>
  <c r="P37" i="1"/>
  <c r="P25" i="1"/>
  <c r="P38" i="1"/>
  <c r="P26" i="1"/>
  <c r="P39" i="1"/>
  <c r="P27" i="1"/>
  <c r="P40" i="1"/>
  <c r="P28" i="1"/>
  <c r="P41" i="1"/>
  <c r="P29" i="1"/>
  <c r="P42" i="1"/>
  <c r="P43" i="1"/>
  <c r="P49" i="1"/>
  <c r="Z49" i="1"/>
  <c r="P50" i="1"/>
  <c r="Z50" i="1"/>
  <c r="P51" i="1"/>
  <c r="Z51" i="1"/>
  <c r="P52" i="1"/>
  <c r="Z52" i="1"/>
  <c r="P53" i="1"/>
  <c r="Z53" i="1"/>
  <c r="P54" i="1"/>
  <c r="Z54" i="1"/>
  <c r="P55" i="1"/>
  <c r="Z55" i="1"/>
  <c r="Z57" i="1"/>
  <c r="Z60" i="1"/>
  <c r="F39" i="1"/>
  <c r="Q18" i="1"/>
  <c r="Q21" i="1"/>
  <c r="Q47" i="1"/>
  <c r="AA47" i="1"/>
  <c r="Q20" i="1"/>
  <c r="Q46" i="1"/>
  <c r="AA46" i="1"/>
  <c r="Q22" i="1"/>
  <c r="Q48" i="1"/>
  <c r="AA48" i="1"/>
  <c r="Q33" i="1"/>
  <c r="Q34" i="1"/>
  <c r="Q35" i="1"/>
  <c r="Q23" i="1"/>
  <c r="Q36" i="1"/>
  <c r="Q24" i="1"/>
  <c r="Q37" i="1"/>
  <c r="Q25" i="1"/>
  <c r="Q38" i="1"/>
  <c r="Q26" i="1"/>
  <c r="Q39" i="1"/>
  <c r="Q27" i="1"/>
  <c r="Q40" i="1"/>
  <c r="Q28" i="1"/>
  <c r="Q41" i="1"/>
  <c r="Q29" i="1"/>
  <c r="Q42" i="1"/>
  <c r="Q43" i="1"/>
  <c r="Q49" i="1"/>
  <c r="AA49" i="1"/>
  <c r="Q50" i="1"/>
  <c r="AA50" i="1"/>
  <c r="Q51" i="1"/>
  <c r="AA51" i="1"/>
  <c r="Q52" i="1"/>
  <c r="AA52" i="1"/>
  <c r="Q53" i="1"/>
  <c r="AA53" i="1"/>
  <c r="Q54" i="1"/>
  <c r="AA54" i="1"/>
  <c r="Q55" i="1"/>
  <c r="AA55" i="1"/>
  <c r="AA57" i="1"/>
  <c r="AA60" i="1"/>
  <c r="G39" i="1"/>
  <c r="R21" i="1"/>
  <c r="R20" i="1"/>
  <c r="R33" i="1"/>
  <c r="R34" i="1"/>
  <c r="R22" i="1"/>
  <c r="R35" i="1"/>
  <c r="R19" i="1"/>
  <c r="R23" i="1"/>
  <c r="R36" i="1"/>
  <c r="R24" i="1"/>
  <c r="R37" i="1"/>
  <c r="R25" i="1"/>
  <c r="R38" i="1"/>
  <c r="R26" i="1"/>
  <c r="R39" i="1"/>
  <c r="R27" i="1"/>
  <c r="R40" i="1"/>
  <c r="R28" i="1"/>
  <c r="R41" i="1"/>
  <c r="R29" i="1"/>
  <c r="R42" i="1"/>
  <c r="R43" i="1"/>
  <c r="R47" i="1"/>
  <c r="AB47" i="1"/>
  <c r="R46" i="1"/>
  <c r="AB46" i="1"/>
  <c r="R48" i="1"/>
  <c r="AB48" i="1"/>
  <c r="R49" i="1"/>
  <c r="AB49" i="1"/>
  <c r="R50" i="1"/>
  <c r="AB50" i="1"/>
  <c r="R51" i="1"/>
  <c r="AB51" i="1"/>
  <c r="R52" i="1"/>
  <c r="AB52" i="1"/>
  <c r="R53" i="1"/>
  <c r="AB53" i="1"/>
  <c r="R54" i="1"/>
  <c r="AB54" i="1"/>
  <c r="R55" i="1"/>
  <c r="AB55" i="1"/>
  <c r="AB57" i="1"/>
  <c r="AB60" i="1"/>
  <c r="H39" i="1"/>
  <c r="S21" i="1"/>
  <c r="S20" i="1"/>
  <c r="S33" i="1"/>
  <c r="S34" i="1"/>
  <c r="S22" i="1"/>
  <c r="S35" i="1"/>
  <c r="S23" i="1"/>
  <c r="S36" i="1"/>
  <c r="S24" i="1"/>
  <c r="S37" i="1"/>
  <c r="S25" i="1"/>
  <c r="S38" i="1"/>
  <c r="S26" i="1"/>
  <c r="S39" i="1"/>
  <c r="S27" i="1"/>
  <c r="S40" i="1"/>
  <c r="S28" i="1"/>
  <c r="S41" i="1"/>
  <c r="S29" i="1"/>
  <c r="S42" i="1"/>
  <c r="S43" i="1"/>
  <c r="S47" i="1"/>
  <c r="AC47" i="1"/>
  <c r="S46" i="1"/>
  <c r="AC46" i="1"/>
  <c r="S48" i="1"/>
  <c r="AC48" i="1"/>
  <c r="S49" i="1"/>
  <c r="AC49" i="1"/>
  <c r="S50" i="1"/>
  <c r="AC50" i="1"/>
  <c r="S51" i="1"/>
  <c r="AC51" i="1"/>
  <c r="S52" i="1"/>
  <c r="AC52" i="1"/>
  <c r="S53" i="1"/>
  <c r="AC53" i="1"/>
  <c r="S54" i="1"/>
  <c r="AC54" i="1"/>
  <c r="S55" i="1"/>
  <c r="AC55" i="1"/>
  <c r="AC57" i="1"/>
  <c r="AC60" i="1"/>
  <c r="I39" i="1"/>
  <c r="T21" i="1"/>
  <c r="T20" i="1"/>
  <c r="T33" i="1"/>
  <c r="T34" i="1"/>
  <c r="T22" i="1"/>
  <c r="T35" i="1"/>
  <c r="T23" i="1"/>
  <c r="T36" i="1"/>
  <c r="T24" i="1"/>
  <c r="T37" i="1"/>
  <c r="T25" i="1"/>
  <c r="T38" i="1"/>
  <c r="T26" i="1"/>
  <c r="T39" i="1"/>
  <c r="T27" i="1"/>
  <c r="T40" i="1"/>
  <c r="T28" i="1"/>
  <c r="T41" i="1"/>
  <c r="T29" i="1"/>
  <c r="T42" i="1"/>
  <c r="T43" i="1"/>
  <c r="T47" i="1"/>
  <c r="AD47" i="1"/>
  <c r="T46" i="1"/>
  <c r="AD46" i="1"/>
  <c r="T48" i="1"/>
  <c r="AD48" i="1"/>
  <c r="T49" i="1"/>
  <c r="AD49" i="1"/>
  <c r="T50" i="1"/>
  <c r="AD50" i="1"/>
  <c r="T51" i="1"/>
  <c r="AD51" i="1"/>
  <c r="T52" i="1"/>
  <c r="AD52" i="1"/>
  <c r="T53" i="1"/>
  <c r="AD53" i="1"/>
  <c r="T54" i="1"/>
  <c r="AD54" i="1"/>
  <c r="T55" i="1"/>
  <c r="AD55" i="1"/>
  <c r="AD57" i="1"/>
  <c r="AD60" i="1"/>
  <c r="J39" i="1"/>
  <c r="U21" i="1"/>
  <c r="U20" i="1"/>
  <c r="U33" i="1"/>
  <c r="U34" i="1"/>
  <c r="U22" i="1"/>
  <c r="U35" i="1"/>
  <c r="U23" i="1"/>
  <c r="U36" i="1"/>
  <c r="U24" i="1"/>
  <c r="U37" i="1"/>
  <c r="U25" i="1"/>
  <c r="U38" i="1"/>
  <c r="U26" i="1"/>
  <c r="U39" i="1"/>
  <c r="U27" i="1"/>
  <c r="U40" i="1"/>
  <c r="U28" i="1"/>
  <c r="U41" i="1"/>
  <c r="U29" i="1"/>
  <c r="U42" i="1"/>
  <c r="U43" i="1"/>
  <c r="U47" i="1"/>
  <c r="AE47" i="1"/>
  <c r="U46" i="1"/>
  <c r="AE46" i="1"/>
  <c r="U48" i="1"/>
  <c r="AE48" i="1"/>
  <c r="U49" i="1"/>
  <c r="AE49" i="1"/>
  <c r="U50" i="1"/>
  <c r="AE50" i="1"/>
  <c r="U51" i="1"/>
  <c r="AE51" i="1"/>
  <c r="U52" i="1"/>
  <c r="AE52" i="1"/>
  <c r="U53" i="1"/>
  <c r="AE53" i="1"/>
  <c r="U54" i="1"/>
  <c r="AE54" i="1"/>
  <c r="U55" i="1"/>
  <c r="AE55" i="1"/>
  <c r="AE57" i="1"/>
  <c r="AE60" i="1"/>
  <c r="K39" i="1"/>
  <c r="X61" i="1"/>
  <c r="D40" i="1"/>
  <c r="Y61" i="1"/>
  <c r="E40" i="1"/>
  <c r="Z61" i="1"/>
  <c r="F40" i="1"/>
  <c r="AA61" i="1"/>
  <c r="G40" i="1"/>
  <c r="AB61" i="1"/>
  <c r="H40" i="1"/>
  <c r="AC61" i="1"/>
  <c r="I40" i="1"/>
  <c r="AD61" i="1"/>
  <c r="J40" i="1"/>
  <c r="AE61" i="1"/>
  <c r="K40" i="1"/>
  <c r="X62" i="1"/>
  <c r="D41" i="1"/>
  <c r="Y62" i="1"/>
  <c r="E41" i="1"/>
  <c r="Z62" i="1"/>
  <c r="F41" i="1"/>
  <c r="AA62" i="1"/>
  <c r="G41" i="1"/>
  <c r="AB62" i="1"/>
  <c r="H41" i="1"/>
  <c r="AC62" i="1"/>
  <c r="I41" i="1"/>
  <c r="AD62" i="1"/>
  <c r="J41" i="1"/>
  <c r="AE62" i="1"/>
  <c r="K41" i="1"/>
  <c r="X63" i="1"/>
  <c r="D42" i="1"/>
  <c r="Y63" i="1"/>
  <c r="E42" i="1"/>
  <c r="Z63" i="1"/>
  <c r="F42" i="1"/>
  <c r="AA63" i="1"/>
  <c r="G42" i="1"/>
  <c r="AB63" i="1"/>
  <c r="H42" i="1"/>
  <c r="AC63" i="1"/>
  <c r="I42" i="1"/>
  <c r="AD63" i="1"/>
  <c r="J42" i="1"/>
  <c r="AE63" i="1"/>
  <c r="K42" i="1"/>
  <c r="X64" i="1"/>
  <c r="D43" i="1"/>
  <c r="Y64" i="1"/>
  <c r="E43" i="1"/>
  <c r="Z64" i="1"/>
  <c r="F43" i="1"/>
  <c r="AA64" i="1"/>
  <c r="G43" i="1"/>
  <c r="AB64" i="1"/>
  <c r="H43" i="1"/>
  <c r="AC64" i="1"/>
  <c r="I43" i="1"/>
  <c r="AD64" i="1"/>
  <c r="J43" i="1"/>
  <c r="AE64" i="1"/>
  <c r="K43" i="1"/>
  <c r="X65" i="1"/>
  <c r="D44" i="1"/>
  <c r="Y65" i="1"/>
  <c r="E44" i="1"/>
  <c r="Z65" i="1"/>
  <c r="F44" i="1"/>
  <c r="AA65" i="1"/>
  <c r="G44" i="1"/>
  <c r="AB65" i="1"/>
  <c r="H44" i="1"/>
  <c r="AC65" i="1"/>
  <c r="I44" i="1"/>
  <c r="AD65" i="1"/>
  <c r="J44" i="1"/>
  <c r="AE65" i="1"/>
  <c r="K44" i="1"/>
  <c r="X66" i="1"/>
  <c r="D45" i="1"/>
  <c r="Y66" i="1"/>
  <c r="E45" i="1"/>
  <c r="Z66" i="1"/>
  <c r="F45" i="1"/>
  <c r="AA66" i="1"/>
  <c r="G45" i="1"/>
  <c r="AB66" i="1"/>
  <c r="H45" i="1"/>
  <c r="AC66" i="1"/>
  <c r="I45" i="1"/>
  <c r="AD66" i="1"/>
  <c r="J45" i="1"/>
  <c r="AE66" i="1"/>
  <c r="K45" i="1"/>
  <c r="X67" i="1"/>
  <c r="D46" i="1"/>
  <c r="Y67" i="1"/>
  <c r="E46" i="1"/>
  <c r="Z67" i="1"/>
  <c r="F46" i="1"/>
  <c r="AA67" i="1"/>
  <c r="G46" i="1"/>
  <c r="AB67" i="1"/>
  <c r="H46" i="1"/>
  <c r="AC67" i="1"/>
  <c r="I46" i="1"/>
  <c r="AD67" i="1"/>
  <c r="J46" i="1"/>
  <c r="AE67" i="1"/>
  <c r="K46" i="1"/>
  <c r="X68" i="1"/>
  <c r="D47" i="1"/>
  <c r="Y68" i="1"/>
  <c r="E47" i="1"/>
  <c r="Z68" i="1"/>
  <c r="F47" i="1"/>
  <c r="AA68" i="1"/>
  <c r="G47" i="1"/>
  <c r="AB68" i="1"/>
  <c r="H47" i="1"/>
  <c r="AC68" i="1"/>
  <c r="I47" i="1"/>
  <c r="AD68" i="1"/>
  <c r="J47" i="1"/>
  <c r="AE68" i="1"/>
  <c r="K47" i="1"/>
  <c r="X69" i="1"/>
  <c r="D48" i="1"/>
  <c r="Y69" i="1"/>
  <c r="E48" i="1"/>
  <c r="Z69" i="1"/>
  <c r="F48" i="1"/>
  <c r="AA69" i="1"/>
  <c r="G48" i="1"/>
  <c r="AB69" i="1"/>
  <c r="H48" i="1"/>
  <c r="AC69" i="1"/>
  <c r="I48" i="1"/>
  <c r="AD69" i="1"/>
  <c r="J48" i="1"/>
  <c r="AE69" i="1"/>
  <c r="K48" i="1"/>
  <c r="X59" i="1"/>
  <c r="X70" i="1"/>
  <c r="D49" i="1"/>
  <c r="Y59" i="1"/>
  <c r="Y70" i="1"/>
  <c r="E49" i="1"/>
  <c r="Z59" i="1"/>
  <c r="Z70" i="1"/>
  <c r="F49" i="1"/>
  <c r="AA59" i="1"/>
  <c r="AA70" i="1"/>
  <c r="G49" i="1"/>
  <c r="AB59" i="1"/>
  <c r="AB70" i="1"/>
  <c r="H49" i="1"/>
  <c r="AC59" i="1"/>
  <c r="AC70" i="1"/>
  <c r="I49" i="1"/>
  <c r="AD59" i="1"/>
  <c r="AD70" i="1"/>
  <c r="J49" i="1"/>
  <c r="AE59" i="1"/>
  <c r="AE70" i="1"/>
  <c r="K49" i="1"/>
  <c r="E38" i="1"/>
  <c r="F38" i="1"/>
  <c r="G38" i="1"/>
  <c r="H38" i="1"/>
  <c r="I38" i="1"/>
  <c r="J38" i="1"/>
  <c r="K38" i="1"/>
  <c r="D38" i="1"/>
  <c r="G4" i="1"/>
  <c r="G18" i="1"/>
  <c r="G6" i="1"/>
  <c r="G19" i="1"/>
  <c r="G20" i="1"/>
  <c r="B14" i="1"/>
  <c r="R12" i="1"/>
  <c r="U12" i="1"/>
  <c r="R30" i="1"/>
  <c r="T30" i="1"/>
  <c r="U30" i="1"/>
  <c r="O30" i="1"/>
  <c r="S30" i="1"/>
  <c r="O59" i="1"/>
  <c r="I11" i="1"/>
  <c r="I30" i="1"/>
  <c r="S67" i="1"/>
  <c r="S62" i="1"/>
  <c r="S64" i="1"/>
  <c r="S59" i="1"/>
  <c r="S60" i="1"/>
  <c r="I6" i="1"/>
  <c r="S65" i="1"/>
  <c r="S68" i="1"/>
  <c r="S63" i="1"/>
  <c r="U63" i="1"/>
  <c r="U66" i="1"/>
  <c r="U67" i="1"/>
  <c r="U60" i="1"/>
  <c r="K6" i="1"/>
  <c r="K7" i="1"/>
  <c r="K10" i="1"/>
  <c r="K25" i="1"/>
  <c r="K13" i="1"/>
  <c r="K32" i="1"/>
  <c r="K9" i="1"/>
  <c r="K27" i="1"/>
  <c r="U59" i="1"/>
  <c r="J11" i="1"/>
  <c r="J30" i="1"/>
  <c r="J10" i="1"/>
  <c r="J25" i="1"/>
  <c r="J9" i="1"/>
  <c r="J27" i="1"/>
  <c r="T62" i="1"/>
  <c r="T59" i="1"/>
  <c r="T61" i="1"/>
  <c r="T60" i="1"/>
  <c r="T67" i="1"/>
  <c r="T68" i="1"/>
  <c r="R66" i="1"/>
  <c r="R59" i="1"/>
  <c r="H9" i="1"/>
  <c r="H27" i="1"/>
  <c r="R67" i="1"/>
  <c r="R68" i="1"/>
  <c r="H6" i="1"/>
  <c r="R62" i="1"/>
  <c r="R65" i="1"/>
  <c r="R60" i="1"/>
  <c r="H8" i="1"/>
  <c r="H26" i="1"/>
  <c r="H10" i="1"/>
  <c r="H25" i="1"/>
  <c r="E12" i="1"/>
  <c r="E31" i="1"/>
  <c r="O67" i="1"/>
  <c r="E7" i="1"/>
  <c r="O62" i="1"/>
  <c r="K5" i="1"/>
  <c r="K23" i="1"/>
  <c r="E13" i="1"/>
  <c r="E32" i="1"/>
  <c r="O68" i="1"/>
  <c r="J6" i="1"/>
  <c r="E8" i="1"/>
  <c r="E26" i="1"/>
  <c r="O63" i="1"/>
  <c r="E11" i="1"/>
  <c r="E30" i="1"/>
  <c r="O66" i="1"/>
  <c r="J8" i="1"/>
  <c r="J26" i="1"/>
  <c r="T63" i="1"/>
  <c r="Q30" i="1"/>
  <c r="E10" i="1"/>
  <c r="E25" i="1"/>
  <c r="O65" i="1"/>
  <c r="E5" i="1"/>
  <c r="E23" i="1"/>
  <c r="O60" i="1"/>
  <c r="E6" i="1"/>
  <c r="O61" i="1"/>
  <c r="E9" i="1"/>
  <c r="E27" i="1"/>
  <c r="O64" i="1"/>
  <c r="P30" i="1"/>
  <c r="E4" i="1"/>
  <c r="O56" i="1"/>
  <c r="N30" i="1"/>
  <c r="T65" i="1"/>
  <c r="K12" i="1"/>
  <c r="K31" i="1"/>
  <c r="I13" i="1"/>
  <c r="I32" i="1"/>
  <c r="I4" i="1"/>
  <c r="I18" i="1"/>
  <c r="S66" i="1"/>
  <c r="U68" i="1"/>
  <c r="U65" i="1"/>
  <c r="K11" i="1"/>
  <c r="K30" i="1"/>
  <c r="J5" i="1"/>
  <c r="J23" i="1"/>
  <c r="I5" i="1"/>
  <c r="I23" i="1"/>
  <c r="H12" i="1"/>
  <c r="H31" i="1"/>
  <c r="K33" i="1"/>
  <c r="K55" i="1"/>
  <c r="K24" i="1"/>
  <c r="E24" i="1"/>
  <c r="E35" i="1"/>
  <c r="U56" i="1"/>
  <c r="E33" i="1"/>
  <c r="E55" i="1"/>
  <c r="S56" i="1"/>
  <c r="H7" i="1"/>
  <c r="J13" i="1"/>
  <c r="J32" i="1"/>
  <c r="E19" i="1"/>
  <c r="E18" i="1"/>
  <c r="I12" i="1"/>
  <c r="I31" i="1"/>
  <c r="I33" i="1"/>
  <c r="I55" i="1"/>
  <c r="I8" i="1"/>
  <c r="I26" i="1"/>
  <c r="H11" i="1"/>
  <c r="R61" i="1"/>
  <c r="S61" i="1"/>
  <c r="K8" i="1"/>
  <c r="K26" i="1"/>
  <c r="J7" i="1"/>
  <c r="T66" i="1"/>
  <c r="I7" i="1"/>
  <c r="R64" i="1"/>
  <c r="U61" i="1"/>
  <c r="R56" i="1"/>
  <c r="J4" i="1"/>
  <c r="K4" i="1"/>
  <c r="I10" i="1"/>
  <c r="I25" i="1"/>
  <c r="H4" i="1"/>
  <c r="U64" i="1"/>
  <c r="R63" i="1"/>
  <c r="T64" i="1"/>
  <c r="J12" i="1"/>
  <c r="J31" i="1"/>
  <c r="I9" i="1"/>
  <c r="I27" i="1"/>
  <c r="H13" i="1"/>
  <c r="H32" i="1"/>
  <c r="T56" i="1"/>
  <c r="H5" i="1"/>
  <c r="H23" i="1"/>
  <c r="U62" i="1"/>
  <c r="E14" i="1"/>
  <c r="O69" i="1"/>
  <c r="Q59" i="1"/>
  <c r="N59" i="1"/>
  <c r="P59" i="1"/>
  <c r="I19" i="1"/>
  <c r="I22" i="1"/>
  <c r="S69" i="1"/>
  <c r="J24" i="1"/>
  <c r="J35" i="1"/>
  <c r="I24" i="1"/>
  <c r="I28" i="1"/>
  <c r="I54" i="1"/>
  <c r="I35" i="1"/>
  <c r="K35" i="1"/>
  <c r="H24" i="1"/>
  <c r="H35" i="1"/>
  <c r="E22" i="1"/>
  <c r="E28" i="1"/>
  <c r="E54" i="1"/>
  <c r="T69" i="1"/>
  <c r="E20" i="1"/>
  <c r="E53" i="1"/>
  <c r="J33" i="1"/>
  <c r="J55" i="1"/>
  <c r="H14" i="1"/>
  <c r="H30" i="1"/>
  <c r="H33" i="1"/>
  <c r="H55" i="1"/>
  <c r="H19" i="1"/>
  <c r="H22" i="1"/>
  <c r="H28" i="1"/>
  <c r="H54" i="1"/>
  <c r="H18" i="1"/>
  <c r="K19" i="1"/>
  <c r="K18" i="1"/>
  <c r="U69" i="1"/>
  <c r="J14" i="1"/>
  <c r="J19" i="1"/>
  <c r="J22" i="1"/>
  <c r="J18" i="1"/>
  <c r="R69" i="1"/>
  <c r="K14" i="1"/>
  <c r="I14" i="1"/>
  <c r="G7" i="1"/>
  <c r="Q62" i="1"/>
  <c r="G8" i="1"/>
  <c r="G26" i="1"/>
  <c r="Q63" i="1"/>
  <c r="G11" i="1"/>
  <c r="G30" i="1"/>
  <c r="Q66" i="1"/>
  <c r="G12" i="1"/>
  <c r="G31" i="1"/>
  <c r="Q67" i="1"/>
  <c r="G9" i="1"/>
  <c r="G27" i="1"/>
  <c r="Q64" i="1"/>
  <c r="G10" i="1"/>
  <c r="G25" i="1"/>
  <c r="Q65" i="1"/>
  <c r="G13" i="1"/>
  <c r="G32" i="1"/>
  <c r="Q68" i="1"/>
  <c r="G5" i="1"/>
  <c r="G23" i="1"/>
  <c r="Q60" i="1"/>
  <c r="Q61" i="1"/>
  <c r="F12" i="1"/>
  <c r="F31" i="1"/>
  <c r="P67" i="1"/>
  <c r="F6" i="1"/>
  <c r="P61" i="1"/>
  <c r="F9" i="1"/>
  <c r="F27" i="1"/>
  <c r="P64" i="1"/>
  <c r="F10" i="1"/>
  <c r="F25" i="1"/>
  <c r="P65" i="1"/>
  <c r="F7" i="1"/>
  <c r="P62" i="1"/>
  <c r="F11" i="1"/>
  <c r="F30" i="1"/>
  <c r="P66" i="1"/>
  <c r="F8" i="1"/>
  <c r="F26" i="1"/>
  <c r="P63" i="1"/>
  <c r="F13" i="1"/>
  <c r="F32" i="1"/>
  <c r="P68" i="1"/>
  <c r="F5" i="1"/>
  <c r="F23" i="1"/>
  <c r="P60" i="1"/>
  <c r="D13" i="1"/>
  <c r="D32" i="1"/>
  <c r="N68" i="1"/>
  <c r="D9" i="1"/>
  <c r="D27" i="1"/>
  <c r="N64" i="1"/>
  <c r="D8" i="1"/>
  <c r="D26" i="1"/>
  <c r="N63" i="1"/>
  <c r="D7" i="1"/>
  <c r="N62" i="1"/>
  <c r="D12" i="1"/>
  <c r="D31" i="1"/>
  <c r="N67" i="1"/>
  <c r="D5" i="1"/>
  <c r="D23" i="1"/>
  <c r="N60" i="1"/>
  <c r="D11" i="1"/>
  <c r="D30" i="1"/>
  <c r="D33" i="1"/>
  <c r="D55" i="1"/>
  <c r="N66" i="1"/>
  <c r="D10" i="1"/>
  <c r="D25" i="1"/>
  <c r="N65" i="1"/>
  <c r="D6" i="1"/>
  <c r="N61" i="1"/>
  <c r="F4" i="1"/>
  <c r="P56" i="1"/>
  <c r="D4" i="1"/>
  <c r="N56" i="1"/>
  <c r="Q56" i="1"/>
  <c r="J28" i="1"/>
  <c r="J54" i="1"/>
  <c r="I20" i="1"/>
  <c r="I53" i="1"/>
  <c r="E52" i="1"/>
  <c r="E51" i="1"/>
  <c r="F24" i="1"/>
  <c r="F35" i="1"/>
  <c r="D24" i="1"/>
  <c r="D35" i="1"/>
  <c r="G24" i="1"/>
  <c r="G35" i="1"/>
  <c r="F33" i="1"/>
  <c r="F55" i="1"/>
  <c r="G33" i="1"/>
  <c r="G55" i="1"/>
  <c r="K20" i="1"/>
  <c r="K53" i="1"/>
  <c r="K22" i="1"/>
  <c r="K28" i="1"/>
  <c r="K54" i="1"/>
  <c r="G14" i="1"/>
  <c r="G22" i="1"/>
  <c r="H20" i="1"/>
  <c r="H53" i="1"/>
  <c r="F19" i="1"/>
  <c r="F22" i="1"/>
  <c r="F18" i="1"/>
  <c r="D19" i="1"/>
  <c r="D22" i="1"/>
  <c r="D18" i="1"/>
  <c r="J20" i="1"/>
  <c r="J53" i="1"/>
  <c r="Q69" i="1"/>
  <c r="N69" i="1"/>
  <c r="P69" i="1"/>
  <c r="F14" i="1"/>
  <c r="D14" i="1"/>
  <c r="G28" i="1"/>
  <c r="G54" i="1"/>
  <c r="I52" i="1"/>
  <c r="I51" i="1"/>
  <c r="F28" i="1"/>
  <c r="F54" i="1"/>
  <c r="D28" i="1"/>
  <c r="D54" i="1"/>
  <c r="J52" i="1"/>
  <c r="J51" i="1"/>
  <c r="H52" i="1"/>
  <c r="H51" i="1"/>
  <c r="K52" i="1"/>
  <c r="K51" i="1"/>
  <c r="F20" i="1"/>
  <c r="F53" i="1"/>
  <c r="G53" i="1"/>
  <c r="D20" i="1"/>
  <c r="D53" i="1"/>
  <c r="G52" i="1"/>
  <c r="G51" i="1"/>
  <c r="D52" i="1"/>
  <c r="D51" i="1"/>
  <c r="F52" i="1"/>
  <c r="F5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Kurt Hollocher</author>
  </authors>
  <commentList>
    <comment ref="K1" authorId="0" shapeId="0" xr:uid="{00000000-0006-0000-0000-000001000000}">
      <text>
        <r>
          <rPr>
            <sz val="9"/>
            <color indexed="81"/>
            <rFont val="Tahoma"/>
            <family val="2"/>
          </rPr>
          <t>Put your biotite analyses in the yellow area to the left, the results show up in the blue areas.</t>
        </r>
      </text>
    </comment>
    <comment ref="D3" authorId="0" shapeId="0" xr:uid="{00000000-0006-0000-0000-000002000000}">
      <text>
        <r>
          <rPr>
            <sz val="9"/>
            <color indexed="81"/>
            <rFont val="Tahoma"/>
            <family val="2"/>
          </rPr>
          <t>Total Cations - (K+Na+Ca+Ba) = 7.0, Dymek (1983)</t>
        </r>
      </text>
    </comment>
    <comment ref="E3" authorId="0" shapeId="0" xr:uid="{00000000-0006-0000-0000-000003000000}">
      <text>
        <r>
          <rPr>
            <sz val="9"/>
            <color indexed="81"/>
            <rFont val="Tahoma"/>
            <family val="2"/>
          </rPr>
          <t>Total cation charge = 22 (all Fe as Fe</t>
        </r>
        <r>
          <rPr>
            <vertAlign val="superscript"/>
            <sz val="9"/>
            <color indexed="81"/>
            <rFont val="Tahoma"/>
            <family val="2"/>
          </rPr>
          <t>2+</t>
        </r>
        <r>
          <rPr>
            <sz val="9"/>
            <color indexed="81"/>
            <rFont val="Tahoma"/>
            <family val="2"/>
          </rPr>
          <t>), Dymek (1983)</t>
        </r>
      </text>
    </comment>
    <comment ref="F3" authorId="0" shapeId="0" xr:uid="{00000000-0006-0000-0000-000004000000}">
      <text>
        <r>
          <rPr>
            <sz val="9"/>
            <color indexed="81"/>
            <rFont val="Tahoma"/>
            <family val="2"/>
          </rPr>
          <t>Total cations - (K+Na+Ca+Ba) + Ti = 7.0, Dymek (1983)</t>
        </r>
      </text>
    </comment>
    <comment ref="G3" authorId="0" shapeId="0" xr:uid="{00000000-0006-0000-0000-000005000000}">
      <text>
        <r>
          <rPr>
            <sz val="9"/>
            <color indexed="81"/>
            <rFont val="Tahoma"/>
            <family val="2"/>
          </rPr>
          <t>(Total cations - (K+Na+Ca+Ba) + Ti + 0.5((Al + Cr)VI - AlIV + (K+Na+2Ca+2Ba))) = 7 Dymek (1993)*</t>
        </r>
      </text>
    </comment>
    <comment ref="H3" authorId="0" shapeId="0" xr:uid="{00000000-0006-0000-0000-000006000000}">
      <text>
        <r>
          <rPr>
            <sz val="9"/>
            <color indexed="81"/>
            <rFont val="Tahoma"/>
            <family val="2"/>
          </rPr>
          <t>Hornblende-bearing, enter hornblende Fe</t>
        </r>
        <r>
          <rPr>
            <vertAlign val="superscript"/>
            <sz val="9"/>
            <color indexed="81"/>
            <rFont val="Tahoma"/>
            <family val="2"/>
          </rPr>
          <t>3+</t>
        </r>
        <r>
          <rPr>
            <sz val="9"/>
            <color indexed="81"/>
            <rFont val="Tahoma"/>
            <family val="2"/>
          </rPr>
          <t>/Fe</t>
        </r>
        <r>
          <rPr>
            <vertAlign val="subscript"/>
            <sz val="9"/>
            <color indexed="81"/>
            <rFont val="Tahoma"/>
            <family val="2"/>
          </rPr>
          <t>total</t>
        </r>
        <r>
          <rPr>
            <sz val="9"/>
            <color indexed="81"/>
            <rFont val="Tahoma"/>
            <family val="2"/>
          </rPr>
          <t xml:space="preserve"> value in the yellow cell, below. Alternatively, make up your own number. See this link for estimating amphibole ferric iron: http://minerva.union.edu/hollochk/c_petrology/other_files/amphibole_fe3_v3.xlsx</t>
        </r>
      </text>
    </comment>
    <comment ref="I3" authorId="0" shapeId="0" xr:uid="{00000000-0006-0000-0000-000007000000}">
      <text>
        <r>
          <rPr>
            <sz val="9"/>
            <color indexed="81"/>
            <rFont val="Tahoma"/>
            <family val="2"/>
          </rPr>
          <t>Pelitic schist, magnetite-bearing, Fe</t>
        </r>
        <r>
          <rPr>
            <vertAlign val="superscript"/>
            <sz val="9"/>
            <color indexed="81"/>
            <rFont val="Tahoma"/>
            <family val="2"/>
          </rPr>
          <t>3+</t>
        </r>
        <r>
          <rPr>
            <sz val="9"/>
            <color indexed="81"/>
            <rFont val="Tahoma"/>
            <family val="2"/>
          </rPr>
          <t>/Fe</t>
        </r>
        <r>
          <rPr>
            <sz val="9"/>
            <color indexed="81"/>
            <rFont val="Tahoma"/>
            <family val="2"/>
          </rPr>
          <t xml:space="preserve"> = 0.115, Guidotti and Dyar (1991)</t>
        </r>
      </text>
    </comment>
    <comment ref="J3" authorId="0" shapeId="0" xr:uid="{00000000-0006-0000-0000-000008000000}">
      <text>
        <r>
          <rPr>
            <sz val="9"/>
            <color indexed="81"/>
            <rFont val="Tahoma"/>
            <family val="2"/>
          </rPr>
          <t>Pelitic schist, graphite-bearing, Fe</t>
        </r>
        <r>
          <rPr>
            <vertAlign val="superscript"/>
            <sz val="9"/>
            <color indexed="81"/>
            <rFont val="Tahoma"/>
            <family val="2"/>
          </rPr>
          <t>3+</t>
        </r>
        <r>
          <rPr>
            <sz val="9"/>
            <color indexed="81"/>
            <rFont val="Tahoma"/>
            <family val="2"/>
          </rPr>
          <t>/Fe</t>
        </r>
        <r>
          <rPr>
            <vertAlign val="subscript"/>
            <sz val="9"/>
            <color indexed="81"/>
            <rFont val="Tahoma"/>
            <family val="2"/>
          </rPr>
          <t>total</t>
        </r>
        <r>
          <rPr>
            <sz val="9"/>
            <color indexed="81"/>
            <rFont val="Tahoma"/>
            <family val="2"/>
          </rPr>
          <t xml:space="preserve"> = 0.04, Guidotti and Dyar (1991)</t>
        </r>
      </text>
    </comment>
    <comment ref="K3" authorId="0" shapeId="0" xr:uid="{00000000-0006-0000-0000-000009000000}">
      <text>
        <r>
          <rPr>
            <sz val="9"/>
            <color indexed="81"/>
            <rFont val="Tahoma"/>
            <family val="2"/>
          </rPr>
          <t>All Fe as Fe</t>
        </r>
        <r>
          <rPr>
            <vertAlign val="superscript"/>
            <sz val="9"/>
            <color indexed="81"/>
            <rFont val="Tahoma"/>
            <family val="2"/>
          </rPr>
          <t>3+</t>
        </r>
      </text>
    </comment>
  </commentList>
</comments>
</file>

<file path=xl/sharedStrings.xml><?xml version="1.0" encoding="utf-8"?>
<sst xmlns="http://schemas.openxmlformats.org/spreadsheetml/2006/main" count="207" uniqueCount="84">
  <si>
    <t>NaO</t>
  </si>
  <si>
    <t>MgO</t>
  </si>
  <si>
    <t>Al2O3</t>
  </si>
  <si>
    <t>SiO2</t>
  </si>
  <si>
    <t>K2O</t>
  </si>
  <si>
    <t>CaO</t>
  </si>
  <si>
    <t>TiO2</t>
  </si>
  <si>
    <t>MnO</t>
  </si>
  <si>
    <t>FeO</t>
  </si>
  <si>
    <t>SUM</t>
  </si>
  <si>
    <t>Oxide</t>
  </si>
  <si>
    <t>Mol. Wt.</t>
  </si>
  <si>
    <t>Anions</t>
  </si>
  <si>
    <t>Cations</t>
  </si>
  <si>
    <t>Amount analyzed</t>
  </si>
  <si>
    <t>Amount/mol.wt.</t>
  </si>
  <si>
    <t>Corrected cations</t>
  </si>
  <si>
    <t>Si</t>
  </si>
  <si>
    <t>Ti</t>
  </si>
  <si>
    <t>Al</t>
  </si>
  <si>
    <t>Fe2O3</t>
  </si>
  <si>
    <t>Fe+3</t>
  </si>
  <si>
    <t>Fe+2</t>
  </si>
  <si>
    <t>Mn</t>
  </si>
  <si>
    <t>Mg</t>
  </si>
  <si>
    <t>Ca</t>
  </si>
  <si>
    <t>Na2O</t>
  </si>
  <si>
    <t>Na</t>
  </si>
  <si>
    <t>K</t>
  </si>
  <si>
    <t>Total:</t>
  </si>
  <si>
    <t>Total</t>
  </si>
  <si>
    <t>Correction factor:</t>
  </si>
  <si>
    <t>Oxygens/formula:</t>
  </si>
  <si>
    <t>Charge</t>
  </si>
  <si>
    <t>A</t>
  </si>
  <si>
    <t>Weight %</t>
  </si>
  <si>
    <t>B</t>
  </si>
  <si>
    <t>C</t>
  </si>
  <si>
    <t>D</t>
  </si>
  <si>
    <t>E</t>
  </si>
  <si>
    <t>F</t>
  </si>
  <si>
    <t>G</t>
  </si>
  <si>
    <t>H</t>
  </si>
  <si>
    <t>Cation charges</t>
  </si>
  <si>
    <t>-</t>
  </si>
  <si>
    <t>Sum</t>
  </si>
  <si>
    <t>[4] sites</t>
  </si>
  <si>
    <t>[6] sites</t>
  </si>
  <si>
    <t>Fe3+</t>
  </si>
  <si>
    <t>Fe2+</t>
  </si>
  <si>
    <t>These calculated by correction factors</t>
  </si>
  <si>
    <t>[12] sites</t>
  </si>
  <si>
    <t>Results</t>
  </si>
  <si>
    <t>All positive</t>
  </si>
  <si>
    <t>[4] site full</t>
  </si>
  <si>
    <r>
      <t>Calculated Fe</t>
    </r>
    <r>
      <rPr>
        <vertAlign val="superscript"/>
        <sz val="9"/>
        <color theme="1"/>
        <rFont val="Calibri"/>
        <family val="2"/>
      </rPr>
      <t>3+</t>
    </r>
    <r>
      <rPr>
        <sz val="9"/>
        <color theme="1"/>
        <rFont val="Calibri"/>
        <family val="2"/>
        <scheme val="minor"/>
      </rPr>
      <t>/Fe</t>
    </r>
    <r>
      <rPr>
        <vertAlign val="subscript"/>
        <sz val="9"/>
        <color theme="1"/>
        <rFont val="Calibri"/>
        <family val="2"/>
        <scheme val="minor"/>
      </rPr>
      <t>total</t>
    </r>
  </si>
  <si>
    <r>
      <t>Fe</t>
    </r>
    <r>
      <rPr>
        <vertAlign val="superscript"/>
        <sz val="9"/>
        <color theme="1"/>
        <rFont val="Calibri"/>
        <family val="2"/>
      </rPr>
      <t>3+</t>
    </r>
    <r>
      <rPr>
        <sz val="9"/>
        <color theme="1"/>
        <rFont val="Calibri"/>
        <family val="2"/>
        <scheme val="minor"/>
      </rPr>
      <t xml:space="preserve"> only</t>
    </r>
  </si>
  <si>
    <r>
      <t>Fe</t>
    </r>
    <r>
      <rPr>
        <vertAlign val="superscript"/>
        <sz val="9"/>
        <color theme="1"/>
        <rFont val="Calibri"/>
        <family val="2"/>
      </rPr>
      <t>2+</t>
    </r>
    <r>
      <rPr>
        <sz val="9"/>
        <color theme="1"/>
        <rFont val="Calibri"/>
        <family val="2"/>
        <scheme val="minor"/>
      </rPr>
      <t xml:space="preserve"> only</t>
    </r>
  </si>
  <si>
    <t>[6] site ≤3</t>
  </si>
  <si>
    <t>[12] site ≤1</t>
  </si>
  <si>
    <t>Factor</t>
  </si>
  <si>
    <r>
      <t>Fe</t>
    </r>
    <r>
      <rPr>
        <vertAlign val="superscript"/>
        <sz val="9"/>
        <color theme="1"/>
        <rFont val="Calibri"/>
        <family val="2"/>
      </rPr>
      <t>3+</t>
    </r>
    <r>
      <rPr>
        <sz val="9"/>
        <color theme="1"/>
        <rFont val="Calibri"/>
        <family val="2"/>
        <scheme val="minor"/>
      </rPr>
      <t>/Fe</t>
    </r>
    <r>
      <rPr>
        <vertAlign val="subscript"/>
        <sz val="9"/>
        <color theme="1"/>
        <rFont val="Calibri"/>
        <family val="2"/>
        <scheme val="minor"/>
      </rPr>
      <t>total</t>
    </r>
  </si>
  <si>
    <t>D*</t>
  </si>
  <si>
    <t>E**</t>
  </si>
  <si>
    <t>All the actual calculations are done over here →</t>
  </si>
  <si>
    <t>??*</t>
  </si>
  <si>
    <t>Guidotti, C.V., and Dyar, M.D., 1991, Ferric iron in metamorphic biotite and its petrologic and crystallochemical implications. American Mineralogist, v. 76, p. 161-175.</t>
  </si>
  <si>
    <t>Shearer, C.K., and Robinson, P., 1988, Petrogenesis of metaluminous and peraluminous tonalites within the Merrimack Synclinorium: Hardwick tonalite, central Massachusetts. American Journal of Science, v. 288A, p. 148-195.</t>
  </si>
  <si>
    <t>Check cation charges. All these should be 22, unless there is a problem with the algorithm.</t>
  </si>
  <si>
    <t>Help</t>
  </si>
  <si>
    <t xml:space="preserve"> </t>
  </si>
  <si>
    <t>Dymek, R.F., 1983, Titanium, aluminum and interlayer cation substitutions in biotite from high-grade gneisses, West Greenland. American Mineralogist, v. 68, p. 880-899.</t>
  </si>
  <si>
    <t>**Based on the finding (Shearer, 1988) that Fe3+/Fetotal in hornblende is the same as in biotite, in metamorphosed tonalite. To calculate Fe3+ in hornblende, see the link below. Fe3+ in hornblende: http://minerva.union.edu/hollochk/c_petrology/other_files/amphibole_fe3_v3.xls</t>
  </si>
  <si>
    <r>
      <t>Hornblende Fe</t>
    </r>
    <r>
      <rPr>
        <vertAlign val="superscript"/>
        <sz val="9"/>
        <color theme="1"/>
        <rFont val="Calibri"/>
        <family val="2"/>
        <scheme val="minor"/>
      </rPr>
      <t>3+</t>
    </r>
    <r>
      <rPr>
        <sz val="9"/>
        <color theme="1"/>
        <rFont val="Calibri"/>
        <family val="2"/>
        <scheme val="minor"/>
      </rPr>
      <t>/Fe</t>
    </r>
    <r>
      <rPr>
        <vertAlign val="subscript"/>
        <sz val="9"/>
        <color theme="1"/>
        <rFont val="Calibri"/>
        <family val="2"/>
        <scheme val="minor"/>
      </rPr>
      <t>total</t>
    </r>
    <r>
      <rPr>
        <sz val="9"/>
        <color theme="1"/>
        <rFont val="Calibri"/>
        <family val="2"/>
        <scheme val="minor"/>
      </rPr>
      <t>, or just make up a value (0-1):</t>
    </r>
  </si>
  <si>
    <r>
      <t>These calculated by pre-decided Fe</t>
    </r>
    <r>
      <rPr>
        <b/>
        <vertAlign val="superscript"/>
        <sz val="9"/>
        <color theme="1"/>
        <rFont val="Calibri"/>
        <family val="2"/>
      </rPr>
      <t>3+</t>
    </r>
    <r>
      <rPr>
        <b/>
        <sz val="9"/>
        <color theme="1"/>
        <rFont val="Calibri"/>
        <family val="2"/>
        <scheme val="minor"/>
      </rPr>
      <t>/Fe</t>
    </r>
    <r>
      <rPr>
        <b/>
        <vertAlign val="subscript"/>
        <sz val="9"/>
        <color theme="1"/>
        <rFont val="Calibri"/>
        <family val="2"/>
        <scheme val="minor"/>
      </rPr>
      <t>total</t>
    </r>
    <r>
      <rPr>
        <b/>
        <sz val="9"/>
        <color theme="1"/>
        <rFont val="Calibri"/>
        <family val="2"/>
        <scheme val="minor"/>
      </rPr>
      <t xml:space="preserve"> ratios</t>
    </r>
  </si>
  <si>
    <r>
      <t>*I don't understand this estmation equation. All I ever get is Fe</t>
    </r>
    <r>
      <rPr>
        <vertAlign val="subscript"/>
        <sz val="9"/>
        <color rgb="FFFF0000"/>
        <rFont val="Calibri"/>
        <family val="2"/>
        <scheme val="minor"/>
      </rPr>
      <t>total</t>
    </r>
    <r>
      <rPr>
        <sz val="9"/>
        <color rgb="FFFF0000"/>
        <rFont val="Calibri"/>
        <family val="2"/>
        <scheme val="minor"/>
      </rPr>
      <t xml:space="preserve"> = Fe</t>
    </r>
    <r>
      <rPr>
        <vertAlign val="superscript"/>
        <sz val="9"/>
        <color rgb="FFFF0000"/>
        <rFont val="Calibri"/>
        <family val="2"/>
      </rPr>
      <t>2+</t>
    </r>
    <r>
      <rPr>
        <sz val="9"/>
        <color rgb="FFFF0000"/>
        <rFont val="Calibri"/>
        <family val="2"/>
        <scheme val="minor"/>
      </rPr>
      <t>. Please let me know if you understand the proper implementation of this method.</t>
    </r>
  </si>
  <si>
    <t>H2O</t>
  </si>
  <si>
    <t>Wight % of the oxides</t>
  </si>
  <si>
    <t>Weight % calculations</t>
  </si>
  <si>
    <t>Cation proportions</t>
  </si>
  <si>
    <t>Site occupancies</t>
  </si>
  <si>
    <t>← Put the cursor over each letter to see the estimate type.</t>
  </si>
  <si>
    <t>Biotite ferric iron estimates from electron probe analyses</t>
  </si>
  <si>
    <t>Normalized to a sum of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</si>
</sst>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7" x14ac:knownFonts="1"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</font>
    <font>
      <vertAlign val="subscript"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vertAlign val="superscript"/>
      <sz val="9"/>
      <color theme="1"/>
      <name val="Calibri"/>
      <family val="2"/>
    </font>
    <font>
      <b/>
      <vertAlign val="subscript"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indexed="81"/>
      <name val="Tahoma"/>
      <family val="2"/>
    </font>
    <font>
      <vertAlign val="subscript"/>
      <sz val="9"/>
      <color indexed="81"/>
      <name val="Tahoma"/>
      <family val="2"/>
    </font>
    <font>
      <vertAlign val="superscript"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vertAlign val="subscript"/>
      <sz val="9"/>
      <color rgb="FFFF0000"/>
      <name val="Calibri"/>
      <family val="2"/>
      <scheme val="minor"/>
    </font>
    <font>
      <vertAlign val="superscript"/>
      <sz val="9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7C8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Font="1"/>
    <xf numFmtId="2" fontId="0" fillId="0" borderId="0" xfId="0" applyNumberFormat="1" applyFont="1"/>
    <xf numFmtId="0" fontId="0" fillId="0" borderId="0" xfId="0" applyFont="1" applyBorder="1"/>
    <xf numFmtId="0" fontId="0" fillId="0" borderId="0" xfId="0" applyFont="1" applyFill="1"/>
    <xf numFmtId="165" fontId="0" fillId="0" borderId="0" xfId="0" applyNumberFormat="1" applyFont="1" applyBorder="1"/>
    <xf numFmtId="0" fontId="0" fillId="0" borderId="0" xfId="0" applyFont="1" applyFill="1" applyBorder="1"/>
    <xf numFmtId="0" fontId="1" fillId="0" borderId="0" xfId="0" applyFont="1" applyFill="1" applyBorder="1"/>
    <xf numFmtId="165" fontId="0" fillId="0" borderId="0" xfId="0" applyNumberFormat="1" applyFont="1" applyFill="1" applyBorder="1"/>
    <xf numFmtId="2" fontId="0" fillId="0" borderId="0" xfId="0" applyNumberFormat="1" applyFont="1" applyFill="1" applyBorder="1"/>
    <xf numFmtId="165" fontId="6" fillId="0" borderId="1" xfId="0" applyNumberFormat="1" applyFont="1" applyFill="1" applyBorder="1"/>
    <xf numFmtId="2" fontId="6" fillId="0" borderId="0" xfId="0" applyNumberFormat="1" applyFont="1" applyFill="1" applyBorder="1"/>
    <xf numFmtId="1" fontId="6" fillId="0" borderId="0" xfId="0" applyNumberFormat="1" applyFont="1" applyFill="1" applyBorder="1"/>
    <xf numFmtId="164" fontId="6" fillId="0" borderId="0" xfId="0" applyNumberFormat="1" applyFont="1" applyFill="1" applyBorder="1"/>
    <xf numFmtId="165" fontId="6" fillId="0" borderId="0" xfId="0" applyNumberFormat="1" applyFont="1" applyFill="1"/>
    <xf numFmtId="164" fontId="6" fillId="0" borderId="1" xfId="0" applyNumberFormat="1" applyFont="1" applyFill="1" applyBorder="1" applyAlignment="1">
      <alignment horizontal="left"/>
    </xf>
    <xf numFmtId="2" fontId="6" fillId="0" borderId="1" xfId="0" applyNumberFormat="1" applyFont="1" applyFill="1" applyBorder="1"/>
    <xf numFmtId="1" fontId="6" fillId="0" borderId="1" xfId="0" applyNumberFormat="1" applyFont="1" applyFill="1" applyBorder="1"/>
    <xf numFmtId="164" fontId="6" fillId="0" borderId="1" xfId="0" applyNumberFormat="1" applyFont="1" applyFill="1" applyBorder="1"/>
    <xf numFmtId="164" fontId="6" fillId="0" borderId="0" xfId="0" applyNumberFormat="1" applyFont="1" applyFill="1" applyBorder="1" applyAlignment="1">
      <alignment horizontal="left"/>
    </xf>
    <xf numFmtId="165" fontId="6" fillId="0" borderId="0" xfId="0" applyNumberFormat="1" applyFont="1" applyFill="1" applyBorder="1"/>
    <xf numFmtId="0" fontId="0" fillId="0" borderId="0" xfId="0" applyFont="1" applyBorder="1" applyAlignment="1">
      <alignment horizontal="center"/>
    </xf>
    <xf numFmtId="165" fontId="0" fillId="0" borderId="1" xfId="0" applyNumberFormat="1" applyFont="1" applyBorder="1"/>
    <xf numFmtId="2" fontId="6" fillId="0" borderId="0" xfId="0" applyNumberFormat="1" applyFont="1" applyFill="1" applyBorder="1" applyProtection="1">
      <protection locked="0"/>
    </xf>
    <xf numFmtId="0" fontId="5" fillId="0" borderId="0" xfId="0" applyNumberFormat="1" applyFont="1" applyFill="1" applyBorder="1" applyProtection="1">
      <protection locked="0"/>
    </xf>
    <xf numFmtId="2" fontId="6" fillId="0" borderId="1" xfId="0" applyNumberFormat="1" applyFont="1" applyFill="1" applyBorder="1" applyProtection="1">
      <protection locked="0"/>
    </xf>
    <xf numFmtId="165" fontId="0" fillId="0" borderId="1" xfId="0" applyNumberFormat="1" applyFont="1" applyFill="1" applyBorder="1"/>
    <xf numFmtId="165" fontId="0" fillId="0" borderId="2" xfId="0" applyNumberFormat="1" applyFont="1" applyFill="1" applyBorder="1"/>
    <xf numFmtId="165" fontId="0" fillId="0" borderId="3" xfId="0" applyNumberFormat="1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165" fontId="0" fillId="0" borderId="4" xfId="0" applyNumberFormat="1" applyFont="1" applyFill="1" applyBorder="1"/>
    <xf numFmtId="165" fontId="0" fillId="0" borderId="5" xfId="0" applyNumberFormat="1" applyFont="1" applyFill="1" applyBorder="1"/>
    <xf numFmtId="0" fontId="0" fillId="0" borderId="2" xfId="0" applyFont="1" applyBorder="1"/>
    <xf numFmtId="0" fontId="0" fillId="0" borderId="3" xfId="0" applyFont="1" applyBorder="1"/>
    <xf numFmtId="165" fontId="0" fillId="0" borderId="2" xfId="0" applyNumberFormat="1" applyFont="1" applyBorder="1"/>
    <xf numFmtId="165" fontId="0" fillId="0" borderId="3" xfId="0" applyNumberFormat="1" applyFont="1" applyBorder="1"/>
    <xf numFmtId="165" fontId="0" fillId="0" borderId="4" xfId="0" applyNumberFormat="1" applyFont="1" applyBorder="1"/>
    <xf numFmtId="165" fontId="0" fillId="0" borderId="5" xfId="0" applyNumberFormat="1" applyFont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Border="1"/>
    <xf numFmtId="0" fontId="0" fillId="0" borderId="0" xfId="0" applyFont="1" applyFill="1" applyBorder="1" applyAlignment="1">
      <alignment horizontal="right"/>
    </xf>
    <xf numFmtId="2" fontId="0" fillId="0" borderId="0" xfId="0" applyNumberFormat="1" applyFont="1" applyFill="1"/>
    <xf numFmtId="165" fontId="0" fillId="2" borderId="0" xfId="0" applyNumberFormat="1" applyFont="1" applyFill="1"/>
    <xf numFmtId="165" fontId="0" fillId="2" borderId="1" xfId="0" applyNumberFormat="1" applyFont="1" applyFill="1" applyBorder="1"/>
    <xf numFmtId="0" fontId="0" fillId="0" borderId="1" xfId="0" applyFont="1" applyBorder="1" applyAlignment="1">
      <alignment horizontal="center"/>
    </xf>
    <xf numFmtId="2" fontId="0" fillId="0" borderId="1" xfId="0" applyNumberFormat="1" applyFont="1" applyFill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6" xfId="0" applyFont="1" applyBorder="1"/>
    <xf numFmtId="2" fontId="0" fillId="0" borderId="6" xfId="0" applyNumberFormat="1" applyFont="1" applyBorder="1"/>
    <xf numFmtId="2" fontId="0" fillId="0" borderId="6" xfId="0" applyNumberFormat="1" applyFont="1" applyFill="1" applyBorder="1"/>
    <xf numFmtId="165" fontId="0" fillId="2" borderId="6" xfId="0" applyNumberFormat="1" applyFont="1" applyFill="1" applyBorder="1"/>
    <xf numFmtId="0" fontId="0" fillId="0" borderId="4" xfId="0" applyFont="1" applyBorder="1"/>
    <xf numFmtId="0" fontId="0" fillId="0" borderId="5" xfId="0" applyFont="1" applyBorder="1"/>
    <xf numFmtId="0" fontId="0" fillId="0" borderId="7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6" fillId="0" borderId="0" xfId="0" applyNumberFormat="1" applyFont="1"/>
    <xf numFmtId="0" fontId="6" fillId="0" borderId="0" xfId="0" applyNumberFormat="1" applyFont="1" applyFill="1" applyBorder="1"/>
    <xf numFmtId="0" fontId="6" fillId="0" borderId="0" xfId="0" applyNumberFormat="1" applyFont="1" applyBorder="1"/>
    <xf numFmtId="0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Border="1" applyAlignment="1">
      <alignment horizontal="right"/>
    </xf>
    <xf numFmtId="165" fontId="6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center"/>
    </xf>
    <xf numFmtId="165" fontId="9" fillId="2" borderId="0" xfId="0" applyNumberFormat="1" applyFont="1" applyFill="1"/>
    <xf numFmtId="165" fontId="9" fillId="2" borderId="1" xfId="0" applyNumberFormat="1" applyFont="1" applyFill="1" applyBorder="1"/>
    <xf numFmtId="165" fontId="9" fillId="2" borderId="6" xfId="0" applyNumberFormat="1" applyFont="1" applyFill="1" applyBorder="1"/>
    <xf numFmtId="0" fontId="9" fillId="0" borderId="0" xfId="0" applyFont="1"/>
    <xf numFmtId="0" fontId="10" fillId="0" borderId="1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0" fillId="0" borderId="0" xfId="0" applyFill="1"/>
    <xf numFmtId="2" fontId="0" fillId="4" borderId="0" xfId="0" applyNumberFormat="1" applyFont="1" applyFill="1"/>
    <xf numFmtId="2" fontId="0" fillId="4" borderId="1" xfId="0" applyNumberFormat="1" applyFont="1" applyFill="1" applyBorder="1"/>
    <xf numFmtId="0" fontId="0" fillId="2" borderId="0" xfId="0" applyFont="1" applyFill="1" applyBorder="1"/>
    <xf numFmtId="0" fontId="9" fillId="2" borderId="0" xfId="0" applyFont="1" applyFill="1" applyBorder="1"/>
    <xf numFmtId="165" fontId="0" fillId="2" borderId="0" xfId="0" applyNumberFormat="1" applyFont="1" applyFill="1" applyBorder="1"/>
    <xf numFmtId="165" fontId="9" fillId="2" borderId="0" xfId="0" applyNumberFormat="1" applyFont="1" applyFill="1" applyBorder="1"/>
    <xf numFmtId="0" fontId="14" fillId="5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65" fontId="6" fillId="0" borderId="0" xfId="0" quotePrefix="1" applyNumberFormat="1" applyFont="1" applyFill="1" applyBorder="1"/>
    <xf numFmtId="0" fontId="0" fillId="0" borderId="0" xfId="0" applyFont="1" applyAlignment="1">
      <alignment horizontal="right" vertical="center" indent="1"/>
    </xf>
    <xf numFmtId="165" fontId="0" fillId="3" borderId="9" xfId="0" applyNumberFormat="1" applyFont="1" applyFill="1" applyBorder="1"/>
    <xf numFmtId="0" fontId="0" fillId="0" borderId="0" xfId="0" applyFont="1" applyFill="1" applyBorder="1" applyAlignment="1">
      <alignment horizontal="center"/>
    </xf>
    <xf numFmtId="2" fontId="0" fillId="0" borderId="1" xfId="0" applyNumberFormat="1" applyFont="1" applyBorder="1"/>
    <xf numFmtId="0" fontId="0" fillId="0" borderId="6" xfId="0" applyFont="1" applyFill="1" applyBorder="1"/>
    <xf numFmtId="2" fontId="0" fillId="2" borderId="0" xfId="0" applyNumberFormat="1" applyFont="1" applyFill="1"/>
    <xf numFmtId="2" fontId="0" fillId="2" borderId="1" xfId="0" applyNumberFormat="1" applyFont="1" applyFill="1" applyBorder="1"/>
    <xf numFmtId="2" fontId="0" fillId="2" borderId="6" xfId="0" applyNumberFormat="1" applyFont="1" applyFill="1" applyBorder="1"/>
    <xf numFmtId="165" fontId="0" fillId="0" borderId="6" xfId="0" applyNumberFormat="1" applyFont="1" applyFill="1" applyBorder="1"/>
    <xf numFmtId="164" fontId="5" fillId="0" borderId="1" xfId="0" applyNumberFormat="1" applyFont="1" applyFill="1" applyBorder="1" applyAlignment="1">
      <alignment horizontal="center" wrapText="1"/>
    </xf>
    <xf numFmtId="165" fontId="6" fillId="0" borderId="8" xfId="0" applyNumberFormat="1" applyFont="1" applyFill="1" applyBorder="1"/>
    <xf numFmtId="2" fontId="9" fillId="2" borderId="0" xfId="0" applyNumberFormat="1" applyFont="1" applyFill="1"/>
    <xf numFmtId="2" fontId="9" fillId="2" borderId="1" xfId="0" applyNumberFormat="1" applyFont="1" applyFill="1" applyBorder="1"/>
    <xf numFmtId="2" fontId="9" fillId="2" borderId="6" xfId="0" applyNumberFormat="1" applyFont="1" applyFill="1" applyBorder="1"/>
    <xf numFmtId="0" fontId="9" fillId="0" borderId="1" xfId="0" applyFont="1" applyBorder="1" applyAlignment="1">
      <alignment horizontal="right"/>
    </xf>
    <xf numFmtId="0" fontId="1" fillId="0" borderId="1" xfId="0" applyFont="1" applyBorder="1"/>
    <xf numFmtId="0" fontId="0" fillId="0" borderId="0" xfId="0" applyFont="1" applyFill="1" applyBorder="1" applyAlignment="1">
      <alignment horizontal="left"/>
    </xf>
    <xf numFmtId="0" fontId="0" fillId="0" borderId="0" xfId="0" applyAlignment="1"/>
    <xf numFmtId="0" fontId="1" fillId="0" borderId="1" xfId="0" applyFont="1" applyBorder="1" applyAlignment="1">
      <alignment horizontal="center"/>
    </xf>
    <xf numFmtId="0" fontId="14" fillId="0" borderId="0" xfId="0" applyFont="1" applyAlignment="1">
      <alignment vertical="center"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165" fontId="0" fillId="0" borderId="0" xfId="0" applyNumberFormat="1" applyFont="1" applyFill="1" applyBorder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FF"/>
      <color rgb="FFFF7C80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0"/>
  <sheetViews>
    <sheetView tabSelected="1" workbookViewId="0">
      <selection activeCell="E67" sqref="E67"/>
    </sheetView>
  </sheetViews>
  <sheetFormatPr defaultRowHeight="12" x14ac:dyDescent="0.2"/>
  <cols>
    <col min="1" max="1" width="9.83203125" style="1" customWidth="1"/>
    <col min="2" max="2" width="9.33203125" style="1"/>
    <col min="3" max="3" width="1.83203125" style="4" customWidth="1"/>
    <col min="4" max="11" width="9" style="1" customWidth="1"/>
    <col min="12" max="12" width="54.1640625" style="1" customWidth="1"/>
    <col min="13" max="16" width="10.6640625" style="1" bestFit="1" customWidth="1"/>
    <col min="17" max="17" width="9.1640625" style="1" customWidth="1"/>
    <col min="18" max="18" width="10.6640625" style="1" customWidth="1"/>
    <col min="19" max="19" width="13" style="1" customWidth="1"/>
    <col min="20" max="21" width="10.6640625" style="1" customWidth="1"/>
    <col min="22" max="22" width="9.83203125" style="1" customWidth="1"/>
    <col min="23" max="23" width="9.33203125" style="1"/>
    <col min="24" max="31" width="10.6640625" style="1" bestFit="1" customWidth="1"/>
    <col min="32" max="16384" width="9.33203125" style="1"/>
  </cols>
  <sheetData>
    <row r="1" spans="1:26" ht="24" x14ac:dyDescent="0.2">
      <c r="A1" s="110" t="s">
        <v>82</v>
      </c>
      <c r="B1" s="108"/>
      <c r="C1" s="108"/>
      <c r="D1" s="108"/>
      <c r="E1" s="108"/>
      <c r="F1" s="108"/>
      <c r="G1" s="108"/>
      <c r="H1" s="108"/>
      <c r="I1" s="108"/>
      <c r="J1" s="108"/>
      <c r="K1" s="88" t="s">
        <v>69</v>
      </c>
      <c r="L1" s="91" t="s">
        <v>64</v>
      </c>
      <c r="M1" s="100" t="s">
        <v>10</v>
      </c>
      <c r="N1" s="100" t="s">
        <v>11</v>
      </c>
      <c r="O1" s="100" t="s">
        <v>12</v>
      </c>
      <c r="P1" s="100" t="s">
        <v>13</v>
      </c>
      <c r="Q1" s="100" t="s">
        <v>33</v>
      </c>
      <c r="R1" s="100" t="s">
        <v>14</v>
      </c>
      <c r="S1" s="100" t="s">
        <v>15</v>
      </c>
      <c r="T1" s="100" t="s">
        <v>12</v>
      </c>
      <c r="U1" s="100" t="s">
        <v>13</v>
      </c>
      <c r="V1" s="100" t="s">
        <v>16</v>
      </c>
      <c r="W1" s="10"/>
    </row>
    <row r="2" spans="1:26" x14ac:dyDescent="0.2">
      <c r="D2" s="109" t="s">
        <v>79</v>
      </c>
      <c r="E2" s="109"/>
      <c r="F2" s="109"/>
      <c r="G2" s="109"/>
      <c r="H2" s="109"/>
      <c r="I2" s="109"/>
      <c r="J2" s="109"/>
      <c r="K2" s="109"/>
      <c r="M2" s="19" t="s">
        <v>3</v>
      </c>
      <c r="N2" s="11">
        <f>(2*15.9994)+28.0855</f>
        <v>60.084299999999999</v>
      </c>
      <c r="O2" s="12">
        <v>2</v>
      </c>
      <c r="P2" s="12">
        <v>1</v>
      </c>
      <c r="Q2" s="12">
        <v>4</v>
      </c>
      <c r="R2" s="23">
        <f t="shared" ref="R2:R11" si="0">B4</f>
        <v>37.200000000000003</v>
      </c>
      <c r="S2" s="13">
        <f t="shared" ref="S2:S11" si="1">R2/N2</f>
        <v>0.61913012217833951</v>
      </c>
      <c r="T2" s="13">
        <f t="shared" ref="T2:T11" si="2">O2*S2</f>
        <v>1.238260244356679</v>
      </c>
      <c r="U2" s="13">
        <f t="shared" ref="U2:U11" si="3">S2*P2</f>
        <v>0.61913012217833951</v>
      </c>
      <c r="V2" s="20">
        <f>U2*$T$13</f>
        <v>2.7138137774025659</v>
      </c>
      <c r="W2" s="20" t="s">
        <v>17</v>
      </c>
      <c r="Y2" s="4"/>
    </row>
    <row r="3" spans="1:26" x14ac:dyDescent="0.2">
      <c r="A3" s="42"/>
      <c r="B3" s="42" t="s">
        <v>35</v>
      </c>
      <c r="C3" s="41"/>
      <c r="D3" s="47" t="s">
        <v>34</v>
      </c>
      <c r="E3" s="47" t="s">
        <v>36</v>
      </c>
      <c r="F3" s="47" t="s">
        <v>37</v>
      </c>
      <c r="G3" s="73" t="s">
        <v>62</v>
      </c>
      <c r="H3" s="47" t="s">
        <v>63</v>
      </c>
      <c r="I3" s="47" t="s">
        <v>40</v>
      </c>
      <c r="J3" s="47" t="s">
        <v>41</v>
      </c>
      <c r="K3" s="47" t="s">
        <v>42</v>
      </c>
      <c r="L3" s="89" t="s">
        <v>81</v>
      </c>
      <c r="M3" s="19" t="s">
        <v>6</v>
      </c>
      <c r="N3" s="11">
        <v>79.898799999999994</v>
      </c>
      <c r="O3" s="12">
        <v>2</v>
      </c>
      <c r="P3" s="12">
        <v>1</v>
      </c>
      <c r="Q3" s="12">
        <v>4</v>
      </c>
      <c r="R3" s="23">
        <f t="shared" si="0"/>
        <v>2.27</v>
      </c>
      <c r="S3" s="13">
        <f t="shared" si="1"/>
        <v>2.8410939838896206E-2</v>
      </c>
      <c r="T3" s="13">
        <f t="shared" si="2"/>
        <v>5.6821879677792411E-2</v>
      </c>
      <c r="U3" s="13">
        <f t="shared" si="3"/>
        <v>2.8410939838896206E-2</v>
      </c>
      <c r="V3" s="20">
        <f t="shared" ref="V3:V11" si="4">U3*$T$13</f>
        <v>0.12453278753822745</v>
      </c>
      <c r="W3" s="20" t="s">
        <v>18</v>
      </c>
      <c r="Y3" s="4"/>
    </row>
    <row r="4" spans="1:26" x14ac:dyDescent="0.2">
      <c r="A4" s="1" t="s">
        <v>3</v>
      </c>
      <c r="B4" s="82">
        <v>37.200000000000003</v>
      </c>
      <c r="C4" s="44"/>
      <c r="D4" s="45">
        <f t="shared" ref="D4:D13" si="5">N46</f>
        <v>2.7534709432940359</v>
      </c>
      <c r="E4" s="45">
        <f t="shared" ref="E4:E13" si="6">O46</f>
        <v>2.7138137774025659</v>
      </c>
      <c r="F4" s="45">
        <f t="shared" ref="F4:F13" si="7">P46</f>
        <v>2.7046509904274565</v>
      </c>
      <c r="G4" s="74">
        <f t="shared" ref="G4:G13" si="8">Q46</f>
        <v>2.7138137774025655</v>
      </c>
      <c r="H4" s="45">
        <f t="shared" ref="H4:H13" si="9">R46</f>
        <v>2.6932375063008576</v>
      </c>
      <c r="I4" s="45">
        <f t="shared" ref="I4:I13" si="10">S46</f>
        <v>2.704309780415616</v>
      </c>
      <c r="J4" s="45">
        <f t="shared" ref="J4:J13" si="11">T46</f>
        <v>2.7105004718422827</v>
      </c>
      <c r="K4" s="45">
        <f t="shared" ref="K4:K13" si="12">U46</f>
        <v>2.6333391801971988</v>
      </c>
      <c r="M4" s="19" t="s">
        <v>2</v>
      </c>
      <c r="N4" s="11">
        <f>3*15.9994+2*26.9815</f>
        <v>101.96119999999999</v>
      </c>
      <c r="O4" s="12">
        <v>3</v>
      </c>
      <c r="P4" s="12">
        <v>2</v>
      </c>
      <c r="Q4" s="12">
        <v>3</v>
      </c>
      <c r="R4" s="23">
        <f t="shared" si="0"/>
        <v>18.64</v>
      </c>
      <c r="S4" s="13">
        <f t="shared" si="1"/>
        <v>0.18281463929416289</v>
      </c>
      <c r="T4" s="13">
        <f t="shared" si="2"/>
        <v>0.5484439178824887</v>
      </c>
      <c r="U4" s="13">
        <f t="shared" si="3"/>
        <v>0.36562927858832578</v>
      </c>
      <c r="V4" s="20">
        <f t="shared" si="4"/>
        <v>1.6026514267528134</v>
      </c>
      <c r="W4" s="20" t="s">
        <v>19</v>
      </c>
      <c r="Y4" s="4"/>
    </row>
    <row r="5" spans="1:26" x14ac:dyDescent="0.2">
      <c r="A5" s="1" t="s">
        <v>6</v>
      </c>
      <c r="B5" s="82">
        <v>2.27</v>
      </c>
      <c r="C5" s="44"/>
      <c r="D5" s="45">
        <f t="shared" si="5"/>
        <v>0.1263525945771089</v>
      </c>
      <c r="E5" s="45">
        <f t="shared" si="6"/>
        <v>0.12453278753822745</v>
      </c>
      <c r="F5" s="45">
        <f t="shared" si="7"/>
        <v>0.12411232117714888</v>
      </c>
      <c r="G5" s="74">
        <f t="shared" si="8"/>
        <v>0.12453278753822744</v>
      </c>
      <c r="H5" s="45">
        <f t="shared" si="9"/>
        <v>0.12358857374626618</v>
      </c>
      <c r="I5" s="45">
        <f t="shared" si="10"/>
        <v>0.12409666356855971</v>
      </c>
      <c r="J5" s="45">
        <f t="shared" si="11"/>
        <v>0.12438074498437804</v>
      </c>
      <c r="K5" s="45">
        <f t="shared" si="12"/>
        <v>0.1208399306445638</v>
      </c>
      <c r="M5" s="19" t="s">
        <v>20</v>
      </c>
      <c r="N5" s="11">
        <f>3*15.9994+2*55.847</f>
        <v>159.69220000000001</v>
      </c>
      <c r="O5" s="12">
        <v>3</v>
      </c>
      <c r="P5" s="12">
        <v>2</v>
      </c>
      <c r="Q5" s="12">
        <v>3</v>
      </c>
      <c r="R5" s="23">
        <f t="shared" si="0"/>
        <v>0</v>
      </c>
      <c r="S5" s="13">
        <f t="shared" si="1"/>
        <v>0</v>
      </c>
      <c r="T5" s="13">
        <f t="shared" si="2"/>
        <v>0</v>
      </c>
      <c r="U5" s="13">
        <f t="shared" si="3"/>
        <v>0</v>
      </c>
      <c r="V5" s="20">
        <f t="shared" si="4"/>
        <v>0</v>
      </c>
      <c r="W5" s="20" t="s">
        <v>21</v>
      </c>
      <c r="Y5" s="4"/>
    </row>
    <row r="6" spans="1:26" x14ac:dyDescent="0.2">
      <c r="A6" s="1" t="s">
        <v>2</v>
      </c>
      <c r="B6" s="82">
        <v>18.64</v>
      </c>
      <c r="C6" s="44"/>
      <c r="D6" s="45">
        <f t="shared" si="5"/>
        <v>1.6260710932111979</v>
      </c>
      <c r="E6" s="45">
        <f t="shared" si="6"/>
        <v>1.6026514267528134</v>
      </c>
      <c r="F6" s="45">
        <f t="shared" si="7"/>
        <v>1.5972403135286972</v>
      </c>
      <c r="G6" s="74">
        <f t="shared" si="8"/>
        <v>1.6026514267528131</v>
      </c>
      <c r="H6" s="45">
        <f t="shared" si="9"/>
        <v>1.5905000438860168</v>
      </c>
      <c r="I6" s="45">
        <f t="shared" si="10"/>
        <v>1.5970388108622831</v>
      </c>
      <c r="J6" s="45">
        <f t="shared" si="11"/>
        <v>1.6006947435317049</v>
      </c>
      <c r="K6" s="45">
        <f t="shared" si="12"/>
        <v>1.5551268953710093</v>
      </c>
      <c r="M6" s="19" t="s">
        <v>8</v>
      </c>
      <c r="N6" s="11">
        <f>15.9994+55.847</f>
        <v>71.846400000000003</v>
      </c>
      <c r="O6" s="12">
        <v>1</v>
      </c>
      <c r="P6" s="12">
        <v>1</v>
      </c>
      <c r="Q6" s="12">
        <v>2</v>
      </c>
      <c r="R6" s="23">
        <f t="shared" si="0"/>
        <v>11.02</v>
      </c>
      <c r="S6" s="13">
        <f t="shared" si="1"/>
        <v>0.15338277213611259</v>
      </c>
      <c r="T6" s="13">
        <f t="shared" si="2"/>
        <v>0.15338277213611259</v>
      </c>
      <c r="U6" s="13">
        <f t="shared" si="3"/>
        <v>0.15338277213611259</v>
      </c>
      <c r="V6" s="20">
        <f t="shared" si="4"/>
        <v>0.67231792692405923</v>
      </c>
      <c r="W6" s="20" t="s">
        <v>22</v>
      </c>
      <c r="Y6" s="4"/>
    </row>
    <row r="7" spans="1:26" x14ac:dyDescent="0.2">
      <c r="A7" s="1" t="s">
        <v>20</v>
      </c>
      <c r="B7" s="82">
        <v>0</v>
      </c>
      <c r="C7" s="44"/>
      <c r="D7" s="45">
        <f t="shared" si="5"/>
        <v>-0.32148766318349686</v>
      </c>
      <c r="E7" s="45">
        <f t="shared" si="6"/>
        <v>0</v>
      </c>
      <c r="F7" s="45">
        <f t="shared" si="7"/>
        <v>7.427971481718032E-2</v>
      </c>
      <c r="G7" s="74">
        <f t="shared" si="8"/>
        <v>0</v>
      </c>
      <c r="H7" s="45">
        <f t="shared" si="9"/>
        <v>0.16680509473676713</v>
      </c>
      <c r="I7" s="45">
        <f t="shared" si="10"/>
        <v>7.7045792697320648E-2</v>
      </c>
      <c r="J7" s="45">
        <f t="shared" si="11"/>
        <v>2.685988365642181E-2</v>
      </c>
      <c r="K7" s="45">
        <f t="shared" si="12"/>
        <v>0.65238121836517438</v>
      </c>
      <c r="M7" s="19" t="s">
        <v>7</v>
      </c>
      <c r="N7" s="11">
        <f>15.9994+54.938</f>
        <v>70.937399999999997</v>
      </c>
      <c r="O7" s="12">
        <v>1</v>
      </c>
      <c r="P7" s="12">
        <v>1</v>
      </c>
      <c r="Q7" s="12">
        <v>2</v>
      </c>
      <c r="R7" s="23">
        <f t="shared" si="0"/>
        <v>0.09</v>
      </c>
      <c r="S7" s="13">
        <f t="shared" si="1"/>
        <v>1.2687242554703161E-3</v>
      </c>
      <c r="T7" s="13">
        <f t="shared" si="2"/>
        <v>1.2687242554703161E-3</v>
      </c>
      <c r="U7" s="13">
        <f t="shared" si="3"/>
        <v>1.2687242554703161E-3</v>
      </c>
      <c r="V7" s="20">
        <f t="shared" si="4"/>
        <v>5.5611595057046539E-3</v>
      </c>
      <c r="W7" s="20" t="s">
        <v>23</v>
      </c>
      <c r="Y7" s="4"/>
    </row>
    <row r="8" spans="1:26" x14ac:dyDescent="0.2">
      <c r="A8" s="1" t="s">
        <v>8</v>
      </c>
      <c r="B8" s="82">
        <v>11.02</v>
      </c>
      <c r="C8" s="44"/>
      <c r="D8" s="45">
        <f t="shared" si="5"/>
        <v>1.0036302228004284</v>
      </c>
      <c r="E8" s="45">
        <f t="shared" si="6"/>
        <v>0.67231792692405923</v>
      </c>
      <c r="F8" s="45">
        <f t="shared" si="7"/>
        <v>0.59576823102149712</v>
      </c>
      <c r="G8" s="74">
        <f t="shared" si="8"/>
        <v>0.67231792692405912</v>
      </c>
      <c r="H8" s="45">
        <f t="shared" si="9"/>
        <v>0.50041528421030135</v>
      </c>
      <c r="I8" s="45">
        <f t="shared" si="10"/>
        <v>0.59291762206198917</v>
      </c>
      <c r="J8" s="45">
        <f t="shared" si="11"/>
        <v>0.64463720775412336</v>
      </c>
      <c r="K8" s="45">
        <f t="shared" si="12"/>
        <v>0</v>
      </c>
      <c r="L8" s="81"/>
      <c r="M8" s="19" t="s">
        <v>1</v>
      </c>
      <c r="N8" s="11">
        <f>15.9994+24.305</f>
        <v>40.304400000000001</v>
      </c>
      <c r="O8" s="12">
        <v>1</v>
      </c>
      <c r="P8" s="12">
        <v>1</v>
      </c>
      <c r="Q8" s="12">
        <v>2</v>
      </c>
      <c r="R8" s="23">
        <f t="shared" si="0"/>
        <v>16.37</v>
      </c>
      <c r="S8" s="13">
        <f t="shared" si="1"/>
        <v>0.4061591290280962</v>
      </c>
      <c r="T8" s="13">
        <f t="shared" si="2"/>
        <v>0.4061591290280962</v>
      </c>
      <c r="U8" s="13">
        <f t="shared" si="3"/>
        <v>0.4061591290280962</v>
      </c>
      <c r="V8" s="20">
        <f t="shared" si="4"/>
        <v>1.7803046575995463</v>
      </c>
      <c r="W8" s="20" t="s">
        <v>24</v>
      </c>
      <c r="Y8" s="4"/>
    </row>
    <row r="9" spans="1:26" x14ac:dyDescent="0.2">
      <c r="A9" s="1" t="s">
        <v>7</v>
      </c>
      <c r="B9" s="82">
        <v>0.09</v>
      </c>
      <c r="C9" s="44"/>
      <c r="D9" s="45">
        <f t="shared" si="5"/>
        <v>5.6424251499810037E-3</v>
      </c>
      <c r="E9" s="45">
        <f t="shared" si="6"/>
        <v>5.5611595057046539E-3</v>
      </c>
      <c r="F9" s="45">
        <f t="shared" si="7"/>
        <v>5.5423830810620803E-3</v>
      </c>
      <c r="G9" s="74">
        <f t="shared" si="8"/>
        <v>5.561159505704653E-3</v>
      </c>
      <c r="H9" s="45">
        <f t="shared" si="9"/>
        <v>5.5189945176048654E-3</v>
      </c>
      <c r="I9" s="45">
        <f t="shared" si="10"/>
        <v>5.541683871957687E-3</v>
      </c>
      <c r="J9" s="45">
        <f t="shared" si="11"/>
        <v>5.5543698649174701E-3</v>
      </c>
      <c r="K9" s="45">
        <f t="shared" si="12"/>
        <v>5.396250595983987E-3</v>
      </c>
      <c r="M9" s="19" t="s">
        <v>5</v>
      </c>
      <c r="N9" s="11">
        <f>15.9994+40.08</f>
        <v>56.0794</v>
      </c>
      <c r="O9" s="12">
        <v>1</v>
      </c>
      <c r="P9" s="12">
        <v>1</v>
      </c>
      <c r="Q9" s="12">
        <v>2</v>
      </c>
      <c r="R9" s="23">
        <f t="shared" si="0"/>
        <v>0.02</v>
      </c>
      <c r="S9" s="13">
        <f t="shared" si="1"/>
        <v>3.5663719654632542E-4</v>
      </c>
      <c r="T9" s="13">
        <f t="shared" si="2"/>
        <v>3.5663719654632542E-4</v>
      </c>
      <c r="U9" s="13">
        <f t="shared" si="3"/>
        <v>3.5663719654632542E-4</v>
      </c>
      <c r="V9" s="20">
        <f t="shared" si="4"/>
        <v>1.5632367136594557E-3</v>
      </c>
      <c r="W9" s="20" t="s">
        <v>25</v>
      </c>
      <c r="Y9" s="4"/>
    </row>
    <row r="10" spans="1:26" x14ac:dyDescent="0.2">
      <c r="A10" s="1" t="s">
        <v>1</v>
      </c>
      <c r="B10" s="82">
        <v>16.37</v>
      </c>
      <c r="C10" s="44"/>
      <c r="D10" s="45">
        <f t="shared" si="5"/>
        <v>1.8063203841507451</v>
      </c>
      <c r="E10" s="45">
        <f t="shared" si="6"/>
        <v>1.7803046575995463</v>
      </c>
      <c r="F10" s="45">
        <f t="shared" si="7"/>
        <v>1.7742937247698098</v>
      </c>
      <c r="G10" s="74">
        <f t="shared" si="8"/>
        <v>1.780304657599546</v>
      </c>
      <c r="H10" s="45">
        <f t="shared" si="9"/>
        <v>1.7668062990963098</v>
      </c>
      <c r="I10" s="45">
        <f t="shared" si="10"/>
        <v>1.7740698856182966</v>
      </c>
      <c r="J10" s="45">
        <f t="shared" si="11"/>
        <v>1.7781310768733594</v>
      </c>
      <c r="K10" s="45">
        <f t="shared" si="12"/>
        <v>1.7275120520729106</v>
      </c>
      <c r="M10" s="19" t="s">
        <v>26</v>
      </c>
      <c r="N10" s="11">
        <f>15.9994+2*22.9898</f>
        <v>61.978999999999999</v>
      </c>
      <c r="O10" s="12">
        <v>1</v>
      </c>
      <c r="P10" s="12">
        <v>2</v>
      </c>
      <c r="Q10" s="12">
        <v>1</v>
      </c>
      <c r="R10" s="23">
        <f t="shared" si="0"/>
        <v>7.0000000000000007E-2</v>
      </c>
      <c r="S10" s="13">
        <f t="shared" si="1"/>
        <v>1.1294148017877024E-3</v>
      </c>
      <c r="T10" s="13">
        <f t="shared" si="2"/>
        <v>1.1294148017877024E-3</v>
      </c>
      <c r="U10" s="13">
        <f t="shared" si="3"/>
        <v>2.2588296035754049E-3</v>
      </c>
      <c r="V10" s="20">
        <f t="shared" si="4"/>
        <v>9.9010574342915918E-3</v>
      </c>
      <c r="W10" s="20" t="s">
        <v>27</v>
      </c>
      <c r="Y10" s="4"/>
    </row>
    <row r="11" spans="1:26" x14ac:dyDescent="0.2">
      <c r="A11" s="1" t="s">
        <v>5</v>
      </c>
      <c r="B11" s="82">
        <v>0.02</v>
      </c>
      <c r="C11" s="44"/>
      <c r="D11" s="45">
        <f t="shared" si="5"/>
        <v>1.5860804099356845E-3</v>
      </c>
      <c r="E11" s="45">
        <f t="shared" si="6"/>
        <v>1.5632367136594557E-3</v>
      </c>
      <c r="F11" s="45">
        <f t="shared" si="7"/>
        <v>1.5579586783284385E-3</v>
      </c>
      <c r="G11" s="74">
        <f t="shared" si="8"/>
        <v>1.5632367136594555E-3</v>
      </c>
      <c r="H11" s="45">
        <f t="shared" si="9"/>
        <v>1.5513841751086394E-3</v>
      </c>
      <c r="I11" s="45">
        <f t="shared" si="10"/>
        <v>1.5577621313059352E-3</v>
      </c>
      <c r="J11" s="45">
        <f t="shared" si="11"/>
        <v>1.5613281520114402E-3</v>
      </c>
      <c r="K11" s="45">
        <f t="shared" si="12"/>
        <v>1.5168809740298955E-3</v>
      </c>
      <c r="M11" s="15" t="s">
        <v>4</v>
      </c>
      <c r="N11" s="16">
        <f>15.9994+2*39.0983</f>
        <v>94.195999999999998</v>
      </c>
      <c r="O11" s="17">
        <v>1</v>
      </c>
      <c r="P11" s="17">
        <v>2</v>
      </c>
      <c r="Q11" s="17">
        <v>1</v>
      </c>
      <c r="R11" s="25">
        <f t="shared" si="0"/>
        <v>9.77</v>
      </c>
      <c r="S11" s="18">
        <f t="shared" si="1"/>
        <v>0.10371990318060215</v>
      </c>
      <c r="T11" s="18">
        <f t="shared" si="2"/>
        <v>0.10371990318060215</v>
      </c>
      <c r="U11" s="18">
        <f t="shared" si="3"/>
        <v>0.20743980636120429</v>
      </c>
      <c r="V11" s="10">
        <f t="shared" si="4"/>
        <v>0.90926444105815751</v>
      </c>
      <c r="W11" s="10" t="s">
        <v>28</v>
      </c>
      <c r="Y11" s="4"/>
    </row>
    <row r="12" spans="1:26" x14ac:dyDescent="0.2">
      <c r="A12" s="1" t="s">
        <v>0</v>
      </c>
      <c r="B12" s="82">
        <v>7.0000000000000007E-2</v>
      </c>
      <c r="C12" s="44"/>
      <c r="D12" s="45">
        <f t="shared" si="5"/>
        <v>1.0045742335091411E-2</v>
      </c>
      <c r="E12" s="45">
        <f t="shared" si="6"/>
        <v>9.9010574342915918E-3</v>
      </c>
      <c r="F12" s="45">
        <f t="shared" si="7"/>
        <v>9.8676279923548757E-3</v>
      </c>
      <c r="G12" s="74">
        <f t="shared" si="8"/>
        <v>9.9010574342915901E-3</v>
      </c>
      <c r="H12" s="45">
        <f t="shared" si="9"/>
        <v>9.8259871241406279E-3</v>
      </c>
      <c r="I12" s="45">
        <f t="shared" si="10"/>
        <v>9.8663831243567413E-3</v>
      </c>
      <c r="J12" s="45">
        <f t="shared" si="11"/>
        <v>9.8889691956206543E-3</v>
      </c>
      <c r="K12" s="45">
        <f t="shared" si="12"/>
        <v>9.6074545291967416E-3</v>
      </c>
      <c r="M12" s="13" t="s">
        <v>29</v>
      </c>
      <c r="N12" s="13"/>
      <c r="O12" s="13"/>
      <c r="P12" s="13"/>
      <c r="Q12" s="13"/>
      <c r="R12" s="11">
        <f>SUM(R2:R11)</f>
        <v>95.45</v>
      </c>
      <c r="S12" s="13"/>
      <c r="T12" s="13">
        <f>SUM(T2:T11)</f>
        <v>2.5095426225155752</v>
      </c>
      <c r="U12" s="13">
        <f>SUM(U2:U11)</f>
        <v>1.7840362391865665</v>
      </c>
      <c r="V12" s="20">
        <f>SUM(V2:V11)</f>
        <v>7.8199104709290248</v>
      </c>
      <c r="W12" s="20" t="s">
        <v>30</v>
      </c>
      <c r="Y12" s="14"/>
    </row>
    <row r="13" spans="1:26" x14ac:dyDescent="0.2">
      <c r="A13" s="42" t="s">
        <v>4</v>
      </c>
      <c r="B13" s="83">
        <v>9.77</v>
      </c>
      <c r="C13" s="48"/>
      <c r="D13" s="46">
        <f t="shared" si="5"/>
        <v>0.92255159107505014</v>
      </c>
      <c r="E13" s="46">
        <f t="shared" si="6"/>
        <v>0.90926444105815751</v>
      </c>
      <c r="F13" s="46">
        <f t="shared" si="7"/>
        <v>0.90619444545019356</v>
      </c>
      <c r="G13" s="75">
        <f t="shared" si="8"/>
        <v>0.9092644410581574</v>
      </c>
      <c r="H13" s="46">
        <f t="shared" si="9"/>
        <v>0.90237035282036293</v>
      </c>
      <c r="I13" s="46">
        <f t="shared" si="10"/>
        <v>0.90608012289302964</v>
      </c>
      <c r="J13" s="46">
        <f t="shared" si="11"/>
        <v>0.90815431664453272</v>
      </c>
      <c r="K13" s="46">
        <f t="shared" si="12"/>
        <v>0.88230139360935533</v>
      </c>
      <c r="M13" s="13"/>
      <c r="N13" s="13"/>
      <c r="O13" s="13"/>
      <c r="P13" s="13"/>
      <c r="Q13" s="13"/>
      <c r="R13" s="19" t="s">
        <v>31</v>
      </c>
      <c r="S13" s="13"/>
      <c r="T13" s="13">
        <f>T14/T12</f>
        <v>4.3832688479997035</v>
      </c>
      <c r="U13" s="13"/>
      <c r="V13" s="13"/>
      <c r="W13" s="13"/>
      <c r="Y13" s="4"/>
    </row>
    <row r="14" spans="1:26" x14ac:dyDescent="0.2">
      <c r="A14" s="52" t="s">
        <v>9</v>
      </c>
      <c r="B14" s="53">
        <f>SUM(B4:B13)</f>
        <v>95.45</v>
      </c>
      <c r="C14" s="54"/>
      <c r="D14" s="55">
        <f t="shared" ref="D14:K14" si="13">SUM(D4:D13)</f>
        <v>7.9341834138200777</v>
      </c>
      <c r="E14" s="55">
        <f t="shared" si="13"/>
        <v>7.8199104709290248</v>
      </c>
      <c r="F14" s="55">
        <f t="shared" si="13"/>
        <v>7.7935077109437287</v>
      </c>
      <c r="G14" s="76">
        <f t="shared" si="13"/>
        <v>7.8199104709290239</v>
      </c>
      <c r="H14" s="55">
        <f t="shared" si="13"/>
        <v>7.7606195206137345</v>
      </c>
      <c r="I14" s="55">
        <f t="shared" si="13"/>
        <v>7.792524507244714</v>
      </c>
      <c r="J14" s="55">
        <f t="shared" si="13"/>
        <v>7.8103631124993518</v>
      </c>
      <c r="K14" s="55">
        <f t="shared" si="13"/>
        <v>7.588021256359422</v>
      </c>
      <c r="M14" s="13"/>
      <c r="N14" s="13"/>
      <c r="O14" s="13"/>
      <c r="P14" s="13"/>
      <c r="Q14" s="13"/>
      <c r="R14" s="19" t="s">
        <v>32</v>
      </c>
      <c r="S14" s="13"/>
      <c r="T14" s="24">
        <v>11</v>
      </c>
      <c r="U14" s="13"/>
      <c r="V14" s="13"/>
      <c r="W14" s="13"/>
    </row>
    <row r="15" spans="1:26" ht="15" x14ac:dyDescent="0.25">
      <c r="A15" s="1" t="s">
        <v>73</v>
      </c>
      <c r="G15" s="77"/>
      <c r="H15" s="92">
        <v>0.25</v>
      </c>
      <c r="I15" s="2"/>
      <c r="M15" s="13"/>
      <c r="N15" s="13"/>
      <c r="O15" s="13"/>
      <c r="P15" s="13"/>
      <c r="Q15" s="13"/>
      <c r="R15" s="19"/>
      <c r="S15" s="13"/>
      <c r="T15" s="24"/>
      <c r="U15" s="13"/>
      <c r="V15" s="67"/>
      <c r="W15" s="68"/>
      <c r="X15" s="67"/>
      <c r="Y15" s="67"/>
      <c r="Z15" s="67"/>
    </row>
    <row r="16" spans="1:26" ht="15" x14ac:dyDescent="0.25">
      <c r="G16" s="77"/>
      <c r="N16" s="109" t="s">
        <v>50</v>
      </c>
      <c r="O16" s="109"/>
      <c r="P16" s="109"/>
      <c r="Q16" s="109"/>
      <c r="R16" s="109" t="s">
        <v>74</v>
      </c>
      <c r="S16" s="109"/>
      <c r="T16" s="109"/>
      <c r="U16" s="109"/>
      <c r="V16" s="69"/>
      <c r="W16" s="71"/>
      <c r="X16" s="72"/>
      <c r="Y16" s="72"/>
      <c r="Z16" s="67"/>
    </row>
    <row r="17" spans="1:26" ht="14.25" x14ac:dyDescent="0.2">
      <c r="A17" s="106" t="s">
        <v>80</v>
      </c>
      <c r="B17" s="42"/>
      <c r="C17" s="41"/>
      <c r="D17" s="42"/>
      <c r="E17" s="42" t="s">
        <v>57</v>
      </c>
      <c r="F17" s="42"/>
      <c r="G17" s="105" t="s">
        <v>65</v>
      </c>
      <c r="H17" s="42"/>
      <c r="I17" s="42"/>
      <c r="J17" s="42"/>
      <c r="K17" s="42" t="s">
        <v>56</v>
      </c>
      <c r="M17" s="3"/>
      <c r="N17" s="58" t="s">
        <v>34</v>
      </c>
      <c r="O17" s="59" t="s">
        <v>36</v>
      </c>
      <c r="P17" s="59" t="s">
        <v>37</v>
      </c>
      <c r="Q17" s="60" t="s">
        <v>38</v>
      </c>
      <c r="R17" s="61" t="s">
        <v>39</v>
      </c>
      <c r="S17" s="62" t="s">
        <v>40</v>
      </c>
      <c r="T17" s="62" t="s">
        <v>41</v>
      </c>
      <c r="U17" s="63" t="s">
        <v>42</v>
      </c>
      <c r="V17" s="69"/>
      <c r="W17" s="93"/>
      <c r="X17" s="72"/>
      <c r="Y17" s="72"/>
      <c r="Z17" s="67"/>
    </row>
    <row r="18" spans="1:26" x14ac:dyDescent="0.2">
      <c r="A18" s="1" t="s">
        <v>46</v>
      </c>
      <c r="B18" s="1" t="s">
        <v>17</v>
      </c>
      <c r="D18" s="45">
        <f t="shared" ref="D18:K18" si="14">D4</f>
        <v>2.7534709432940359</v>
      </c>
      <c r="E18" s="45">
        <f t="shared" si="14"/>
        <v>2.7138137774025659</v>
      </c>
      <c r="F18" s="45">
        <f t="shared" si="14"/>
        <v>2.7046509904274565</v>
      </c>
      <c r="G18" s="74">
        <f t="shared" si="14"/>
        <v>2.7138137774025655</v>
      </c>
      <c r="H18" s="45">
        <f t="shared" si="14"/>
        <v>2.6932375063008576</v>
      </c>
      <c r="I18" s="45">
        <f t="shared" si="14"/>
        <v>2.704309780415616</v>
      </c>
      <c r="J18" s="45">
        <f t="shared" si="14"/>
        <v>2.7105004718422827</v>
      </c>
      <c r="K18" s="45">
        <f t="shared" si="14"/>
        <v>2.6333391801971988</v>
      </c>
      <c r="M18" s="3" t="s">
        <v>60</v>
      </c>
      <c r="N18" s="27">
        <f>7/(V12-(V9+V10+V11))</f>
        <v>1.01461307559925</v>
      </c>
      <c r="O18" s="8">
        <v>1</v>
      </c>
      <c r="P18" s="8">
        <f>7/(V12-(V9+V10+V11)+V3)</f>
        <v>0.99662364932649161</v>
      </c>
      <c r="Q18" s="28">
        <f>7/(V12-(V9+V10+V11)+V3+0.5*(((V2+V4)-4)-(4-V2)+(2*V9+V10+V11)))</f>
        <v>0.99999999999999989</v>
      </c>
      <c r="R18" s="39" t="s">
        <v>44</v>
      </c>
      <c r="S18" s="21" t="s">
        <v>44</v>
      </c>
      <c r="T18" s="21" t="s">
        <v>44</v>
      </c>
      <c r="U18" s="40" t="s">
        <v>44</v>
      </c>
      <c r="V18" s="70"/>
      <c r="W18" s="8"/>
      <c r="X18" s="72"/>
      <c r="Y18" s="72"/>
      <c r="Z18" s="67"/>
    </row>
    <row r="19" spans="1:26" ht="15" x14ac:dyDescent="0.25">
      <c r="B19" s="42" t="s">
        <v>19</v>
      </c>
      <c r="C19" s="41"/>
      <c r="D19" s="46">
        <f t="shared" ref="D19:K19" si="15">IF((4-D4)&lt;D6,4-D4,D6)</f>
        <v>1.2465290567059641</v>
      </c>
      <c r="E19" s="46">
        <f t="shared" si="15"/>
        <v>1.2861862225974341</v>
      </c>
      <c r="F19" s="46">
        <f t="shared" si="15"/>
        <v>1.2953490095725435</v>
      </c>
      <c r="G19" s="75">
        <f t="shared" si="15"/>
        <v>1.2861862225974345</v>
      </c>
      <c r="H19" s="46">
        <f t="shared" si="15"/>
        <v>1.3067624936991424</v>
      </c>
      <c r="I19" s="46">
        <f t="shared" si="15"/>
        <v>1.295690219584384</v>
      </c>
      <c r="J19" s="46">
        <f t="shared" si="15"/>
        <v>1.2894995281577173</v>
      </c>
      <c r="K19" s="46">
        <f t="shared" si="15"/>
        <v>1.3666608198028012</v>
      </c>
      <c r="M19" s="42" t="s">
        <v>61</v>
      </c>
      <c r="N19" s="64" t="s">
        <v>44</v>
      </c>
      <c r="O19" s="65" t="s">
        <v>44</v>
      </c>
      <c r="P19" s="65" t="s">
        <v>44</v>
      </c>
      <c r="Q19" s="66" t="s">
        <v>44</v>
      </c>
      <c r="R19" s="56">
        <f>H15</f>
        <v>0.25</v>
      </c>
      <c r="S19" s="42">
        <v>0.115</v>
      </c>
      <c r="T19" s="42">
        <v>0.04</v>
      </c>
      <c r="U19" s="57">
        <v>1</v>
      </c>
      <c r="V19" s="69"/>
      <c r="W19" s="93"/>
      <c r="X19" s="72"/>
      <c r="Y19" s="72"/>
      <c r="Z19" s="67"/>
    </row>
    <row r="20" spans="1:26" x14ac:dyDescent="0.2">
      <c r="B20" s="1" t="s">
        <v>30</v>
      </c>
      <c r="D20" s="45">
        <f>SUM(D18:D19)</f>
        <v>4</v>
      </c>
      <c r="E20" s="45">
        <f t="shared" ref="E20:K20" si="16">SUM(E18:E19)</f>
        <v>4</v>
      </c>
      <c r="F20" s="45">
        <f t="shared" si="16"/>
        <v>4</v>
      </c>
      <c r="G20" s="74">
        <f t="shared" si="16"/>
        <v>4</v>
      </c>
      <c r="H20" s="45">
        <f t="shared" si="16"/>
        <v>4</v>
      </c>
      <c r="I20" s="45">
        <f t="shared" si="16"/>
        <v>4</v>
      </c>
      <c r="J20" s="45">
        <f t="shared" si="16"/>
        <v>4</v>
      </c>
      <c r="K20" s="45">
        <f t="shared" si="16"/>
        <v>4</v>
      </c>
      <c r="L20" s="6"/>
      <c r="M20" s="20" t="s">
        <v>17</v>
      </c>
      <c r="N20" s="27">
        <f t="shared" ref="N20:Q29" si="17">N$18*$V2</f>
        <v>2.7534709432940359</v>
      </c>
      <c r="O20" s="8">
        <f t="shared" si="17"/>
        <v>2.7138137774025659</v>
      </c>
      <c r="P20" s="8">
        <f t="shared" si="17"/>
        <v>2.7046509904274565</v>
      </c>
      <c r="Q20" s="28">
        <f t="shared" si="17"/>
        <v>2.7138137774025655</v>
      </c>
      <c r="R20" s="35">
        <f>V2</f>
        <v>2.7138137774025659</v>
      </c>
      <c r="S20" s="5">
        <f>V2</f>
        <v>2.7138137774025659</v>
      </c>
      <c r="T20" s="5">
        <f>V2</f>
        <v>2.7138137774025659</v>
      </c>
      <c r="U20" s="36">
        <f>V2</f>
        <v>2.7138137774025659</v>
      </c>
      <c r="V20" s="69"/>
      <c r="W20" s="8"/>
      <c r="X20" s="72"/>
      <c r="Y20" s="72"/>
      <c r="Z20" s="67"/>
    </row>
    <row r="21" spans="1:26" x14ac:dyDescent="0.2">
      <c r="A21" s="6"/>
      <c r="B21" s="6"/>
      <c r="C21" s="6"/>
      <c r="D21" s="84"/>
      <c r="E21" s="84"/>
      <c r="F21" s="84"/>
      <c r="G21" s="85"/>
      <c r="H21" s="84"/>
      <c r="I21" s="84"/>
      <c r="J21" s="84"/>
      <c r="K21" s="84"/>
      <c r="L21" s="6"/>
      <c r="M21" s="20" t="s">
        <v>18</v>
      </c>
      <c r="N21" s="27">
        <f t="shared" si="17"/>
        <v>0.1263525945771089</v>
      </c>
      <c r="O21" s="8">
        <f t="shared" si="17"/>
        <v>0.12453278753822745</v>
      </c>
      <c r="P21" s="8">
        <f t="shared" si="17"/>
        <v>0.12411232117714888</v>
      </c>
      <c r="Q21" s="28">
        <f t="shared" si="17"/>
        <v>0.12453278753822744</v>
      </c>
      <c r="R21" s="35">
        <f>V3</f>
        <v>0.12453278753822745</v>
      </c>
      <c r="S21" s="5">
        <f>V3</f>
        <v>0.12453278753822745</v>
      </c>
      <c r="T21" s="5">
        <f>V3</f>
        <v>0.12453278753822745</v>
      </c>
      <c r="U21" s="36">
        <f>V3</f>
        <v>0.12453278753822745</v>
      </c>
      <c r="V21" s="69"/>
      <c r="W21" s="8"/>
      <c r="X21" s="72"/>
      <c r="Y21" s="72"/>
      <c r="Z21" s="67"/>
    </row>
    <row r="22" spans="1:26" x14ac:dyDescent="0.2">
      <c r="A22" s="6" t="s">
        <v>47</v>
      </c>
      <c r="B22" s="6" t="s">
        <v>19</v>
      </c>
      <c r="C22" s="6"/>
      <c r="D22" s="86">
        <f t="shared" ref="D22:K22" si="18">IF(D6&gt;D19,D6-D19,0)</f>
        <v>0.37954203650523377</v>
      </c>
      <c r="E22" s="86">
        <f t="shared" si="18"/>
        <v>0.31646520415537926</v>
      </c>
      <c r="F22" s="86">
        <f t="shared" si="18"/>
        <v>0.30189130395615371</v>
      </c>
      <c r="G22" s="87">
        <f t="shared" si="18"/>
        <v>0.3164652041553786</v>
      </c>
      <c r="H22" s="86">
        <f t="shared" si="18"/>
        <v>0.28373755018687441</v>
      </c>
      <c r="I22" s="86">
        <f t="shared" si="18"/>
        <v>0.30134859127789904</v>
      </c>
      <c r="J22" s="86">
        <f t="shared" si="18"/>
        <v>0.31119521537398764</v>
      </c>
      <c r="K22" s="86">
        <f t="shared" si="18"/>
        <v>0.18846607556820816</v>
      </c>
      <c r="L22" s="6"/>
      <c r="M22" s="20" t="s">
        <v>19</v>
      </c>
      <c r="N22" s="27">
        <f t="shared" si="17"/>
        <v>1.6260710932111979</v>
      </c>
      <c r="O22" s="8">
        <f t="shared" si="17"/>
        <v>1.6026514267528134</v>
      </c>
      <c r="P22" s="8">
        <f t="shared" si="17"/>
        <v>1.5972403135286972</v>
      </c>
      <c r="Q22" s="28">
        <f t="shared" si="17"/>
        <v>1.6026514267528131</v>
      </c>
      <c r="R22" s="35">
        <f>V4</f>
        <v>1.6026514267528134</v>
      </c>
      <c r="S22" s="5">
        <f>V4</f>
        <v>1.6026514267528134</v>
      </c>
      <c r="T22" s="5">
        <f>V4</f>
        <v>1.6026514267528134</v>
      </c>
      <c r="U22" s="36">
        <f>V4</f>
        <v>1.6026514267528134</v>
      </c>
      <c r="V22" s="69"/>
      <c r="W22" s="8"/>
      <c r="X22" s="72"/>
      <c r="Y22" s="72"/>
      <c r="Z22" s="67"/>
    </row>
    <row r="23" spans="1:26" x14ac:dyDescent="0.2">
      <c r="A23" s="6"/>
      <c r="B23" s="6" t="s">
        <v>18</v>
      </c>
      <c r="C23" s="6"/>
      <c r="D23" s="86">
        <f t="shared" ref="D23:K23" si="19">D5</f>
        <v>0.1263525945771089</v>
      </c>
      <c r="E23" s="86">
        <f t="shared" si="19"/>
        <v>0.12453278753822745</v>
      </c>
      <c r="F23" s="86">
        <f t="shared" si="19"/>
        <v>0.12411232117714888</v>
      </c>
      <c r="G23" s="87">
        <f t="shared" si="19"/>
        <v>0.12453278753822744</v>
      </c>
      <c r="H23" s="86">
        <f t="shared" si="19"/>
        <v>0.12358857374626618</v>
      </c>
      <c r="I23" s="86">
        <f t="shared" si="19"/>
        <v>0.12409666356855971</v>
      </c>
      <c r="J23" s="86">
        <f t="shared" si="19"/>
        <v>0.12438074498437804</v>
      </c>
      <c r="K23" s="86">
        <f t="shared" si="19"/>
        <v>0.1208399306445638</v>
      </c>
      <c r="L23" s="6"/>
      <c r="M23" s="20" t="s">
        <v>21</v>
      </c>
      <c r="N23" s="27">
        <f t="shared" si="17"/>
        <v>0</v>
      </c>
      <c r="O23" s="8">
        <f t="shared" si="17"/>
        <v>0</v>
      </c>
      <c r="P23" s="8">
        <f t="shared" si="17"/>
        <v>0</v>
      </c>
      <c r="Q23" s="28">
        <f t="shared" si="17"/>
        <v>0</v>
      </c>
      <c r="R23" s="35">
        <f>$V6*R19</f>
        <v>0.16807948173101481</v>
      </c>
      <c r="S23" s="5">
        <f t="shared" ref="S23:U23" si="20">$V6*S19</f>
        <v>7.731656159626682E-2</v>
      </c>
      <c r="T23" s="5">
        <f t="shared" si="20"/>
        <v>2.6892717076962371E-2</v>
      </c>
      <c r="U23" s="36">
        <f t="shared" si="20"/>
        <v>0.67231792692405923</v>
      </c>
      <c r="V23" s="69"/>
      <c r="W23" s="8"/>
      <c r="X23" s="72"/>
      <c r="Y23" s="72"/>
      <c r="Z23" s="67"/>
    </row>
    <row r="24" spans="1:26" x14ac:dyDescent="0.2">
      <c r="A24" s="6"/>
      <c r="B24" s="6" t="s">
        <v>48</v>
      </c>
      <c r="C24" s="6"/>
      <c r="D24" s="86">
        <f t="shared" ref="D24:K24" si="21">D7</f>
        <v>-0.32148766318349686</v>
      </c>
      <c r="E24" s="86">
        <f t="shared" si="21"/>
        <v>0</v>
      </c>
      <c r="F24" s="86">
        <f t="shared" si="21"/>
        <v>7.427971481718032E-2</v>
      </c>
      <c r="G24" s="87">
        <f t="shared" si="21"/>
        <v>0</v>
      </c>
      <c r="H24" s="86">
        <f t="shared" si="21"/>
        <v>0.16680509473676713</v>
      </c>
      <c r="I24" s="86">
        <f t="shared" si="21"/>
        <v>7.7045792697320648E-2</v>
      </c>
      <c r="J24" s="86">
        <f t="shared" si="21"/>
        <v>2.685988365642181E-2</v>
      </c>
      <c r="K24" s="86">
        <f t="shared" si="21"/>
        <v>0.65238121836517438</v>
      </c>
      <c r="L24" s="6"/>
      <c r="M24" s="20" t="s">
        <v>22</v>
      </c>
      <c r="N24" s="27">
        <f t="shared" si="17"/>
        <v>0.68214255961693149</v>
      </c>
      <c r="O24" s="8">
        <f t="shared" si="17"/>
        <v>0.67231792692405923</v>
      </c>
      <c r="P24" s="8">
        <f t="shared" si="17"/>
        <v>0.67004794583867744</v>
      </c>
      <c r="Q24" s="28">
        <f t="shared" si="17"/>
        <v>0.67231792692405912</v>
      </c>
      <c r="R24" s="35">
        <f>$V6-R23</f>
        <v>0.50423844519304439</v>
      </c>
      <c r="S24" s="5">
        <f t="shared" ref="S24:U24" si="22">$V6-S23</f>
        <v>0.59500136532779235</v>
      </c>
      <c r="T24" s="5">
        <f t="shared" si="22"/>
        <v>0.64542520984709684</v>
      </c>
      <c r="U24" s="36">
        <f t="shared" si="22"/>
        <v>0</v>
      </c>
      <c r="V24" s="69"/>
      <c r="W24" s="8"/>
      <c r="X24" s="72"/>
      <c r="Y24" s="72"/>
      <c r="Z24" s="67"/>
    </row>
    <row r="25" spans="1:26" x14ac:dyDescent="0.2">
      <c r="A25" s="6"/>
      <c r="B25" s="6" t="s">
        <v>24</v>
      </c>
      <c r="C25" s="6"/>
      <c r="D25" s="86">
        <f t="shared" ref="D25:K25" si="23">D10</f>
        <v>1.8063203841507451</v>
      </c>
      <c r="E25" s="86">
        <f t="shared" si="23"/>
        <v>1.7803046575995463</v>
      </c>
      <c r="F25" s="86">
        <f t="shared" si="23"/>
        <v>1.7742937247698098</v>
      </c>
      <c r="G25" s="87">
        <f t="shared" si="23"/>
        <v>1.780304657599546</v>
      </c>
      <c r="H25" s="86">
        <f t="shared" si="23"/>
        <v>1.7668062990963098</v>
      </c>
      <c r="I25" s="86">
        <f t="shared" si="23"/>
        <v>1.7740698856182966</v>
      </c>
      <c r="J25" s="86">
        <f t="shared" si="23"/>
        <v>1.7781310768733594</v>
      </c>
      <c r="K25" s="86">
        <f t="shared" si="23"/>
        <v>1.7275120520729106</v>
      </c>
      <c r="L25" s="6"/>
      <c r="M25" s="20" t="s">
        <v>23</v>
      </c>
      <c r="N25" s="27">
        <f t="shared" si="17"/>
        <v>5.6424251499810037E-3</v>
      </c>
      <c r="O25" s="8">
        <f t="shared" si="17"/>
        <v>5.5611595057046539E-3</v>
      </c>
      <c r="P25" s="8">
        <f t="shared" si="17"/>
        <v>5.5423830810620803E-3</v>
      </c>
      <c r="Q25" s="28">
        <f t="shared" si="17"/>
        <v>5.561159505704653E-3</v>
      </c>
      <c r="R25" s="35">
        <f>V7</f>
        <v>5.5611595057046539E-3</v>
      </c>
      <c r="S25" s="5">
        <f>V7</f>
        <v>5.5611595057046539E-3</v>
      </c>
      <c r="T25" s="5">
        <f>V7</f>
        <v>5.5611595057046539E-3</v>
      </c>
      <c r="U25" s="36">
        <f>V7</f>
        <v>5.5611595057046539E-3</v>
      </c>
      <c r="V25" s="69"/>
      <c r="W25" s="8"/>
      <c r="X25" s="72"/>
      <c r="Y25" s="72"/>
      <c r="Z25" s="67"/>
    </row>
    <row r="26" spans="1:26" x14ac:dyDescent="0.2">
      <c r="A26" s="6"/>
      <c r="B26" s="6" t="s">
        <v>49</v>
      </c>
      <c r="C26" s="6"/>
      <c r="D26" s="86">
        <f t="shared" ref="D26:K27" si="24">D8</f>
        <v>1.0036302228004284</v>
      </c>
      <c r="E26" s="86">
        <f t="shared" si="24"/>
        <v>0.67231792692405923</v>
      </c>
      <c r="F26" s="86">
        <f t="shared" si="24"/>
        <v>0.59576823102149712</v>
      </c>
      <c r="G26" s="87">
        <f t="shared" si="24"/>
        <v>0.67231792692405912</v>
      </c>
      <c r="H26" s="86">
        <f t="shared" si="24"/>
        <v>0.50041528421030135</v>
      </c>
      <c r="I26" s="86">
        <f t="shared" si="24"/>
        <v>0.59291762206198917</v>
      </c>
      <c r="J26" s="86">
        <f t="shared" si="24"/>
        <v>0.64463720775412336</v>
      </c>
      <c r="K26" s="86">
        <f t="shared" si="24"/>
        <v>0</v>
      </c>
      <c r="L26" s="6"/>
      <c r="M26" s="20" t="s">
        <v>24</v>
      </c>
      <c r="N26" s="27">
        <f t="shared" si="17"/>
        <v>1.8063203841507451</v>
      </c>
      <c r="O26" s="8">
        <f t="shared" si="17"/>
        <v>1.7803046575995463</v>
      </c>
      <c r="P26" s="8">
        <f t="shared" si="17"/>
        <v>1.7742937247698098</v>
      </c>
      <c r="Q26" s="28">
        <f t="shared" si="17"/>
        <v>1.780304657599546</v>
      </c>
      <c r="R26" s="35">
        <f>V8</f>
        <v>1.7803046575995463</v>
      </c>
      <c r="S26" s="5">
        <f>V8</f>
        <v>1.7803046575995463</v>
      </c>
      <c r="T26" s="5">
        <f>V8</f>
        <v>1.7803046575995463</v>
      </c>
      <c r="U26" s="36">
        <f>V8</f>
        <v>1.7803046575995463</v>
      </c>
      <c r="V26" s="69"/>
      <c r="W26" s="8"/>
      <c r="X26" s="72"/>
      <c r="Y26" s="72"/>
      <c r="Z26" s="67"/>
    </row>
    <row r="27" spans="1:26" x14ac:dyDescent="0.2">
      <c r="A27" s="6"/>
      <c r="B27" s="41" t="s">
        <v>23</v>
      </c>
      <c r="C27" s="41"/>
      <c r="D27" s="46">
        <f t="shared" si="24"/>
        <v>5.6424251499810037E-3</v>
      </c>
      <c r="E27" s="46">
        <f t="shared" si="24"/>
        <v>5.5611595057046539E-3</v>
      </c>
      <c r="F27" s="46">
        <f t="shared" si="24"/>
        <v>5.5423830810620803E-3</v>
      </c>
      <c r="G27" s="75">
        <f t="shared" si="24"/>
        <v>5.561159505704653E-3</v>
      </c>
      <c r="H27" s="46">
        <f t="shared" si="24"/>
        <v>5.5189945176048654E-3</v>
      </c>
      <c r="I27" s="46">
        <f t="shared" si="24"/>
        <v>5.541683871957687E-3</v>
      </c>
      <c r="J27" s="46">
        <f t="shared" si="24"/>
        <v>5.5543698649174701E-3</v>
      </c>
      <c r="K27" s="46">
        <f t="shared" si="24"/>
        <v>5.396250595983987E-3</v>
      </c>
      <c r="L27" s="6"/>
      <c r="M27" s="20" t="s">
        <v>25</v>
      </c>
      <c r="N27" s="27">
        <f t="shared" si="17"/>
        <v>1.5860804099356845E-3</v>
      </c>
      <c r="O27" s="8">
        <f t="shared" si="17"/>
        <v>1.5632367136594557E-3</v>
      </c>
      <c r="P27" s="8">
        <f t="shared" si="17"/>
        <v>1.5579586783284385E-3</v>
      </c>
      <c r="Q27" s="28">
        <f t="shared" si="17"/>
        <v>1.5632367136594555E-3</v>
      </c>
      <c r="R27" s="35">
        <f>V9</f>
        <v>1.5632367136594557E-3</v>
      </c>
      <c r="S27" s="5">
        <f>V9</f>
        <v>1.5632367136594557E-3</v>
      </c>
      <c r="T27" s="5">
        <f>V9</f>
        <v>1.5632367136594557E-3</v>
      </c>
      <c r="U27" s="36">
        <f>V9</f>
        <v>1.5632367136594557E-3</v>
      </c>
      <c r="V27" s="69"/>
      <c r="W27" s="8"/>
      <c r="X27" s="72"/>
      <c r="Y27" s="72"/>
      <c r="Z27" s="67"/>
    </row>
    <row r="28" spans="1:26" x14ac:dyDescent="0.2">
      <c r="A28" s="6"/>
      <c r="B28" s="6" t="s">
        <v>30</v>
      </c>
      <c r="C28" s="6"/>
      <c r="D28" s="86">
        <f>SUM(D22:D27)</f>
        <v>3</v>
      </c>
      <c r="E28" s="86">
        <f t="shared" ref="E28:K28" si="25">SUM(E22:E27)</f>
        <v>2.8991817357229173</v>
      </c>
      <c r="F28" s="86">
        <f t="shared" si="25"/>
        <v>2.8758876788228522</v>
      </c>
      <c r="G28" s="87">
        <f t="shared" si="25"/>
        <v>2.8991817357229159</v>
      </c>
      <c r="H28" s="86">
        <f t="shared" si="25"/>
        <v>2.8468717964941241</v>
      </c>
      <c r="I28" s="86">
        <f t="shared" si="25"/>
        <v>2.8750202390960227</v>
      </c>
      <c r="J28" s="86">
        <f t="shared" si="25"/>
        <v>2.8907584985071875</v>
      </c>
      <c r="K28" s="86">
        <f t="shared" si="25"/>
        <v>2.6945955272468409</v>
      </c>
      <c r="L28" s="6"/>
      <c r="M28" s="20" t="s">
        <v>27</v>
      </c>
      <c r="N28" s="27">
        <f t="shared" si="17"/>
        <v>1.0045742335091411E-2</v>
      </c>
      <c r="O28" s="8">
        <f t="shared" si="17"/>
        <v>9.9010574342915918E-3</v>
      </c>
      <c r="P28" s="8">
        <f t="shared" si="17"/>
        <v>9.8676279923548757E-3</v>
      </c>
      <c r="Q28" s="28">
        <f t="shared" si="17"/>
        <v>9.9010574342915901E-3</v>
      </c>
      <c r="R28" s="35">
        <f>V10</f>
        <v>9.9010574342915918E-3</v>
      </c>
      <c r="S28" s="5">
        <f>V10</f>
        <v>9.9010574342915918E-3</v>
      </c>
      <c r="T28" s="5">
        <f>V10</f>
        <v>9.9010574342915918E-3</v>
      </c>
      <c r="U28" s="36">
        <f>V10</f>
        <v>9.9010574342915918E-3</v>
      </c>
      <c r="V28" s="69"/>
      <c r="W28" s="8"/>
      <c r="X28" s="72"/>
      <c r="Y28" s="72"/>
      <c r="Z28" s="67"/>
    </row>
    <row r="29" spans="1:26" x14ac:dyDescent="0.2">
      <c r="A29" s="6"/>
      <c r="B29" s="6"/>
      <c r="C29" s="6"/>
      <c r="D29" s="84"/>
      <c r="E29" s="84"/>
      <c r="F29" s="84"/>
      <c r="G29" s="85"/>
      <c r="H29" s="84"/>
      <c r="I29" s="84"/>
      <c r="J29" s="84"/>
      <c r="K29" s="84"/>
      <c r="L29" s="7"/>
      <c r="M29" s="10" t="s">
        <v>28</v>
      </c>
      <c r="N29" s="31">
        <f t="shared" si="17"/>
        <v>0.92255159107505014</v>
      </c>
      <c r="O29" s="26">
        <f t="shared" si="17"/>
        <v>0.90926444105815751</v>
      </c>
      <c r="P29" s="26">
        <f t="shared" si="17"/>
        <v>0.90619444545019356</v>
      </c>
      <c r="Q29" s="32">
        <f t="shared" si="17"/>
        <v>0.9092644410581574</v>
      </c>
      <c r="R29" s="37">
        <f>V11</f>
        <v>0.90926444105815751</v>
      </c>
      <c r="S29" s="22">
        <f>V11</f>
        <v>0.90926444105815751</v>
      </c>
      <c r="T29" s="22">
        <f>V11</f>
        <v>0.90926444105815751</v>
      </c>
      <c r="U29" s="38">
        <f>V11</f>
        <v>0.90926444105815751</v>
      </c>
      <c r="V29" s="69"/>
      <c r="W29" s="8"/>
      <c r="X29" s="72"/>
      <c r="Y29" s="72"/>
      <c r="Z29" s="67"/>
    </row>
    <row r="30" spans="1:26" x14ac:dyDescent="0.2">
      <c r="A30" s="6" t="s">
        <v>51</v>
      </c>
      <c r="B30" s="6" t="s">
        <v>25</v>
      </c>
      <c r="C30" s="6"/>
      <c r="D30" s="86">
        <f t="shared" ref="D30:K32" si="26">D11</f>
        <v>1.5860804099356845E-3</v>
      </c>
      <c r="E30" s="86">
        <f t="shared" si="26"/>
        <v>1.5632367136594557E-3</v>
      </c>
      <c r="F30" s="86">
        <f t="shared" si="26"/>
        <v>1.5579586783284385E-3</v>
      </c>
      <c r="G30" s="87">
        <f t="shared" si="26"/>
        <v>1.5632367136594555E-3</v>
      </c>
      <c r="H30" s="86">
        <f t="shared" si="26"/>
        <v>1.5513841751086394E-3</v>
      </c>
      <c r="I30" s="86">
        <f t="shared" si="26"/>
        <v>1.5577621313059352E-3</v>
      </c>
      <c r="J30" s="86">
        <f t="shared" si="26"/>
        <v>1.5613281520114402E-3</v>
      </c>
      <c r="K30" s="86">
        <f t="shared" si="26"/>
        <v>1.5168809740298955E-3</v>
      </c>
      <c r="L30" s="19"/>
      <c r="M30" s="20" t="s">
        <v>45</v>
      </c>
      <c r="N30" s="27">
        <f t="shared" ref="N30:U30" si="27">SUM(N20:N29)</f>
        <v>7.9341834138200777</v>
      </c>
      <c r="O30" s="8">
        <f t="shared" si="27"/>
        <v>7.8199104709290248</v>
      </c>
      <c r="P30" s="8">
        <f t="shared" si="27"/>
        <v>7.7935077109437287</v>
      </c>
      <c r="Q30" s="28">
        <f t="shared" si="27"/>
        <v>7.8199104709290239</v>
      </c>
      <c r="R30" s="35">
        <f t="shared" si="27"/>
        <v>7.8199104709290248</v>
      </c>
      <c r="S30" s="5">
        <f t="shared" si="27"/>
        <v>7.8199104709290248</v>
      </c>
      <c r="T30" s="5">
        <f t="shared" si="27"/>
        <v>7.8199104709290248</v>
      </c>
      <c r="U30" s="36">
        <f t="shared" si="27"/>
        <v>7.8199104709290248</v>
      </c>
      <c r="V30" s="69"/>
      <c r="W30" s="8"/>
      <c r="X30" s="67"/>
      <c r="Y30" s="67"/>
      <c r="Z30" s="67"/>
    </row>
    <row r="31" spans="1:26" x14ac:dyDescent="0.2">
      <c r="A31" s="6"/>
      <c r="B31" s="6" t="s">
        <v>27</v>
      </c>
      <c r="C31" s="6"/>
      <c r="D31" s="86">
        <f t="shared" si="26"/>
        <v>1.0045742335091411E-2</v>
      </c>
      <c r="E31" s="86">
        <f t="shared" si="26"/>
        <v>9.9010574342915918E-3</v>
      </c>
      <c r="F31" s="86">
        <f t="shared" si="26"/>
        <v>9.8676279923548757E-3</v>
      </c>
      <c r="G31" s="87">
        <f t="shared" si="26"/>
        <v>9.9010574342915901E-3</v>
      </c>
      <c r="H31" s="86">
        <f t="shared" si="26"/>
        <v>9.8259871241406279E-3</v>
      </c>
      <c r="I31" s="86">
        <f t="shared" si="26"/>
        <v>9.8663831243567413E-3</v>
      </c>
      <c r="J31" s="86">
        <f t="shared" si="26"/>
        <v>9.8889691956206543E-3</v>
      </c>
      <c r="K31" s="86">
        <f t="shared" si="26"/>
        <v>9.6074545291967416E-3</v>
      </c>
      <c r="L31" s="19"/>
      <c r="M31" s="3"/>
      <c r="N31" s="27"/>
      <c r="O31" s="8"/>
      <c r="P31" s="8"/>
      <c r="Q31" s="28"/>
      <c r="R31" s="35"/>
      <c r="S31" s="5"/>
      <c r="T31" s="5"/>
      <c r="U31" s="36"/>
      <c r="V31" s="69"/>
      <c r="W31" s="8"/>
      <c r="X31" s="67"/>
      <c r="Y31" s="67"/>
      <c r="Z31" s="67"/>
    </row>
    <row r="32" spans="1:26" x14ac:dyDescent="0.2">
      <c r="A32" s="6"/>
      <c r="B32" s="41" t="s">
        <v>28</v>
      </c>
      <c r="C32" s="41"/>
      <c r="D32" s="46">
        <f t="shared" si="26"/>
        <v>0.92255159107505014</v>
      </c>
      <c r="E32" s="46">
        <f t="shared" si="26"/>
        <v>0.90926444105815751</v>
      </c>
      <c r="F32" s="46">
        <f t="shared" si="26"/>
        <v>0.90619444545019356</v>
      </c>
      <c r="G32" s="75">
        <f t="shared" si="26"/>
        <v>0.9092644410581574</v>
      </c>
      <c r="H32" s="46">
        <f t="shared" si="26"/>
        <v>0.90237035282036293</v>
      </c>
      <c r="I32" s="46">
        <f t="shared" si="26"/>
        <v>0.90608012289302964</v>
      </c>
      <c r="J32" s="46">
        <f t="shared" si="26"/>
        <v>0.90815431664453272</v>
      </c>
      <c r="K32" s="46">
        <f t="shared" si="26"/>
        <v>0.88230139360935533</v>
      </c>
      <c r="L32" s="19"/>
      <c r="M32" s="20" t="s">
        <v>43</v>
      </c>
      <c r="N32" s="27"/>
      <c r="O32" s="8"/>
      <c r="P32" s="8"/>
      <c r="Q32" s="28"/>
      <c r="R32" s="35"/>
      <c r="S32" s="5"/>
      <c r="T32" s="5"/>
      <c r="U32" s="36"/>
      <c r="V32" s="3"/>
      <c r="W32" s="8"/>
    </row>
    <row r="33" spans="1:31" x14ac:dyDescent="0.2">
      <c r="A33" s="6"/>
      <c r="B33" s="6" t="s">
        <v>30</v>
      </c>
      <c r="C33" s="6"/>
      <c r="D33" s="86">
        <f>SUM(D30:D32)</f>
        <v>0.93418341382007719</v>
      </c>
      <c r="E33" s="86">
        <f t="shared" ref="E33:K33" si="28">SUM(E30:E32)</f>
        <v>0.92072873520610854</v>
      </c>
      <c r="F33" s="86">
        <f t="shared" si="28"/>
        <v>0.91762003212087684</v>
      </c>
      <c r="G33" s="87">
        <f t="shared" si="28"/>
        <v>0.92072873520610843</v>
      </c>
      <c r="H33" s="86">
        <f t="shared" si="28"/>
        <v>0.91374772411961225</v>
      </c>
      <c r="I33" s="86">
        <f t="shared" si="28"/>
        <v>0.91750426814869235</v>
      </c>
      <c r="J33" s="86">
        <f t="shared" si="28"/>
        <v>0.91960461399216487</v>
      </c>
      <c r="K33" s="86">
        <f t="shared" si="28"/>
        <v>0.893425729112582</v>
      </c>
      <c r="L33" s="19"/>
      <c r="M33" s="20" t="s">
        <v>17</v>
      </c>
      <c r="N33" s="27">
        <f t="shared" ref="N33:U41" si="29">$Q2*N20</f>
        <v>11.013883773176143</v>
      </c>
      <c r="O33" s="8">
        <f t="shared" si="29"/>
        <v>10.855255109610264</v>
      </c>
      <c r="P33" s="8">
        <f t="shared" si="29"/>
        <v>10.818603961709826</v>
      </c>
      <c r="Q33" s="28">
        <f t="shared" si="29"/>
        <v>10.855255109610262</v>
      </c>
      <c r="R33" s="35">
        <f t="shared" si="29"/>
        <v>10.855255109610264</v>
      </c>
      <c r="S33" s="5">
        <f t="shared" si="29"/>
        <v>10.855255109610264</v>
      </c>
      <c r="T33" s="5">
        <f t="shared" si="29"/>
        <v>10.855255109610264</v>
      </c>
      <c r="U33" s="36">
        <f t="shared" si="29"/>
        <v>10.855255109610264</v>
      </c>
      <c r="V33" s="3"/>
      <c r="W33" s="8"/>
    </row>
    <row r="34" spans="1:31" x14ac:dyDescent="0.2">
      <c r="A34" s="6"/>
      <c r="B34" s="6"/>
      <c r="C34" s="6"/>
      <c r="D34" s="84"/>
      <c r="E34" s="84"/>
      <c r="F34" s="84"/>
      <c r="G34" s="85"/>
      <c r="H34" s="84"/>
      <c r="I34" s="84"/>
      <c r="J34" s="86"/>
      <c r="K34" s="84"/>
      <c r="L34" s="19"/>
      <c r="M34" s="20" t="s">
        <v>18</v>
      </c>
      <c r="N34" s="27">
        <f t="shared" si="29"/>
        <v>0.5054103783084356</v>
      </c>
      <c r="O34" s="8">
        <f t="shared" si="29"/>
        <v>0.49813115015290982</v>
      </c>
      <c r="P34" s="8">
        <f t="shared" si="29"/>
        <v>0.49644928470859551</v>
      </c>
      <c r="Q34" s="28">
        <f t="shared" si="29"/>
        <v>0.49813115015290976</v>
      </c>
      <c r="R34" s="35">
        <f t="shared" si="29"/>
        <v>0.49813115015290982</v>
      </c>
      <c r="S34" s="5">
        <f t="shared" si="29"/>
        <v>0.49813115015290982</v>
      </c>
      <c r="T34" s="5">
        <f t="shared" si="29"/>
        <v>0.49813115015290982</v>
      </c>
      <c r="U34" s="36">
        <f t="shared" si="29"/>
        <v>0.49813115015290982</v>
      </c>
      <c r="V34" s="3"/>
      <c r="W34" s="8"/>
    </row>
    <row r="35" spans="1:31" ht="15" x14ac:dyDescent="0.25">
      <c r="A35" s="1" t="s">
        <v>55</v>
      </c>
      <c r="D35" s="45">
        <f t="shared" ref="D35:K35" si="30">D7/(D7+D8)</f>
        <v>-0.47129102069812739</v>
      </c>
      <c r="E35" s="45">
        <f t="shared" si="30"/>
        <v>0</v>
      </c>
      <c r="F35" s="45">
        <f t="shared" si="30"/>
        <v>0.11085731294080275</v>
      </c>
      <c r="G35" s="74">
        <f t="shared" si="30"/>
        <v>0</v>
      </c>
      <c r="H35" s="45">
        <f t="shared" si="30"/>
        <v>0.25</v>
      </c>
      <c r="I35" s="45">
        <f t="shared" si="30"/>
        <v>0.11500000000000002</v>
      </c>
      <c r="J35" s="45">
        <f t="shared" si="30"/>
        <v>4.0000000000000008E-2</v>
      </c>
      <c r="K35" s="45">
        <f t="shared" si="30"/>
        <v>1</v>
      </c>
      <c r="L35" s="19"/>
      <c r="M35" s="20" t="s">
        <v>19</v>
      </c>
      <c r="N35" s="27">
        <f t="shared" si="29"/>
        <v>4.8782132796335933</v>
      </c>
      <c r="O35" s="8">
        <f t="shared" si="29"/>
        <v>4.8079542802584401</v>
      </c>
      <c r="P35" s="8">
        <f t="shared" si="29"/>
        <v>4.7917209405860914</v>
      </c>
      <c r="Q35" s="28">
        <f t="shared" si="29"/>
        <v>4.8079542802584392</v>
      </c>
      <c r="R35" s="35">
        <f t="shared" si="29"/>
        <v>4.8079542802584401</v>
      </c>
      <c r="S35" s="5">
        <f t="shared" si="29"/>
        <v>4.8079542802584401</v>
      </c>
      <c r="T35" s="5">
        <f t="shared" si="29"/>
        <v>4.8079542802584401</v>
      </c>
      <c r="U35" s="36">
        <f t="shared" si="29"/>
        <v>4.8079542802584401</v>
      </c>
      <c r="V35" s="3"/>
      <c r="W35" s="8"/>
    </row>
    <row r="36" spans="1:31" x14ac:dyDescent="0.2">
      <c r="G36" s="77"/>
      <c r="L36" s="19"/>
      <c r="M36" s="20" t="s">
        <v>21</v>
      </c>
      <c r="N36" s="27">
        <f t="shared" si="29"/>
        <v>0</v>
      </c>
      <c r="O36" s="8">
        <f t="shared" si="29"/>
        <v>0</v>
      </c>
      <c r="P36" s="8">
        <f t="shared" si="29"/>
        <v>0</v>
      </c>
      <c r="Q36" s="28">
        <f t="shared" si="29"/>
        <v>0</v>
      </c>
      <c r="R36" s="35">
        <f t="shared" si="29"/>
        <v>0.50423844519304439</v>
      </c>
      <c r="S36" s="5">
        <f t="shared" si="29"/>
        <v>0.23194968478880046</v>
      </c>
      <c r="T36" s="5">
        <f t="shared" si="29"/>
        <v>8.0678151230887118E-2</v>
      </c>
      <c r="U36" s="36">
        <f t="shared" si="29"/>
        <v>2.0169537807721776</v>
      </c>
      <c r="V36" s="3"/>
      <c r="W36" s="8"/>
    </row>
    <row r="37" spans="1:31" x14ac:dyDescent="0.2">
      <c r="A37" s="106" t="s">
        <v>77</v>
      </c>
      <c r="B37" s="42"/>
      <c r="C37" s="41"/>
      <c r="D37" s="42"/>
      <c r="E37" s="42"/>
      <c r="F37" s="42"/>
      <c r="G37" s="42"/>
      <c r="H37" s="42"/>
      <c r="I37" s="42"/>
      <c r="J37" s="42"/>
      <c r="K37" s="42"/>
      <c r="L37" s="19"/>
      <c r="M37" s="20" t="s">
        <v>22</v>
      </c>
      <c r="N37" s="27">
        <f t="shared" si="29"/>
        <v>1.364285119233863</v>
      </c>
      <c r="O37" s="8">
        <f t="shared" si="29"/>
        <v>1.3446358538481185</v>
      </c>
      <c r="P37" s="8">
        <f t="shared" si="29"/>
        <v>1.3400958916773549</v>
      </c>
      <c r="Q37" s="28">
        <f t="shared" si="29"/>
        <v>1.3446358538481182</v>
      </c>
      <c r="R37" s="35">
        <f t="shared" si="29"/>
        <v>1.0084768903860888</v>
      </c>
      <c r="S37" s="5">
        <f t="shared" si="29"/>
        <v>1.1900027306555847</v>
      </c>
      <c r="T37" s="5">
        <f t="shared" si="29"/>
        <v>1.2908504196941937</v>
      </c>
      <c r="U37" s="36">
        <f t="shared" si="29"/>
        <v>0</v>
      </c>
      <c r="V37" s="3"/>
      <c r="W37" s="8"/>
    </row>
    <row r="38" spans="1:31" x14ac:dyDescent="0.2">
      <c r="A38" s="1" t="s">
        <v>3</v>
      </c>
      <c r="D38" s="96">
        <f>X59</f>
        <v>37.605183174634377</v>
      </c>
      <c r="E38" s="96">
        <f t="shared" ref="E38:K38" si="31">Y59</f>
        <v>37.364399518978402</v>
      </c>
      <c r="F38" s="96">
        <f t="shared" si="31"/>
        <v>37.308209538045681</v>
      </c>
      <c r="G38" s="102">
        <f t="shared" si="31"/>
        <v>37.364399518978402</v>
      </c>
      <c r="H38" s="96">
        <f t="shared" si="31"/>
        <v>37.237921350235588</v>
      </c>
      <c r="I38" s="96">
        <f t="shared" si="31"/>
        <v>37.30611301973736</v>
      </c>
      <c r="J38" s="96">
        <f t="shared" si="31"/>
        <v>37.344105307566473</v>
      </c>
      <c r="K38" s="96">
        <f t="shared" si="31"/>
        <v>36.863572727065396</v>
      </c>
      <c r="L38" s="19"/>
      <c r="M38" s="20" t="s">
        <v>23</v>
      </c>
      <c r="N38" s="27">
        <f t="shared" si="29"/>
        <v>1.1284850299962007E-2</v>
      </c>
      <c r="O38" s="8">
        <f t="shared" si="29"/>
        <v>1.1122319011409308E-2</v>
      </c>
      <c r="P38" s="8">
        <f t="shared" si="29"/>
        <v>1.1084766162124161E-2</v>
      </c>
      <c r="Q38" s="28">
        <f t="shared" si="29"/>
        <v>1.1122319011409306E-2</v>
      </c>
      <c r="R38" s="35">
        <f t="shared" si="29"/>
        <v>1.1122319011409308E-2</v>
      </c>
      <c r="S38" s="5">
        <f t="shared" si="29"/>
        <v>1.1122319011409308E-2</v>
      </c>
      <c r="T38" s="5">
        <f t="shared" si="29"/>
        <v>1.1122319011409308E-2</v>
      </c>
      <c r="U38" s="36">
        <f t="shared" si="29"/>
        <v>1.1122319011409308E-2</v>
      </c>
      <c r="V38" s="3"/>
      <c r="W38" s="8"/>
    </row>
    <row r="39" spans="1:31" x14ac:dyDescent="0.2">
      <c r="A39" s="1" t="s">
        <v>6</v>
      </c>
      <c r="D39" s="96">
        <f t="shared" ref="D39:D49" si="32">X60</f>
        <v>2.2947248872693558</v>
      </c>
      <c r="E39" s="96">
        <f t="shared" ref="E39:E49" si="33">Y60</f>
        <v>2.2800319061312089</v>
      </c>
      <c r="F39" s="96">
        <f t="shared" ref="F39:F49" si="34">Z60</f>
        <v>2.2766031089076257</v>
      </c>
      <c r="G39" s="102">
        <f t="shared" ref="G39:G49" si="35">AA60</f>
        <v>2.2800319061312089</v>
      </c>
      <c r="H39" s="96">
        <f t="shared" ref="H39:H49" si="36">AB60</f>
        <v>2.2723140178772789</v>
      </c>
      <c r="I39" s="96">
        <f t="shared" ref="I39:I49" si="37">AC60</f>
        <v>2.2764751762044027</v>
      </c>
      <c r="J39" s="96">
        <f t="shared" ref="J39:J49" si="38">AD60</f>
        <v>2.2787935228004272</v>
      </c>
      <c r="K39" s="96">
        <f t="shared" ref="K39:K49" si="39">AE60</f>
        <v>2.2494707013558712</v>
      </c>
      <c r="L39" s="19"/>
      <c r="M39" s="20" t="s">
        <v>24</v>
      </c>
      <c r="N39" s="27">
        <f t="shared" si="29"/>
        <v>3.6126407683014903</v>
      </c>
      <c r="O39" s="8">
        <f t="shared" si="29"/>
        <v>3.5606093151990925</v>
      </c>
      <c r="P39" s="8">
        <f t="shared" si="29"/>
        <v>3.5485874495396197</v>
      </c>
      <c r="Q39" s="28">
        <f t="shared" si="29"/>
        <v>3.5606093151990921</v>
      </c>
      <c r="R39" s="35">
        <f t="shared" si="29"/>
        <v>3.5606093151990925</v>
      </c>
      <c r="S39" s="5">
        <f t="shared" si="29"/>
        <v>3.5606093151990925</v>
      </c>
      <c r="T39" s="5">
        <f t="shared" si="29"/>
        <v>3.5606093151990925</v>
      </c>
      <c r="U39" s="36">
        <f t="shared" si="29"/>
        <v>3.5606093151990925</v>
      </c>
      <c r="V39" s="3"/>
      <c r="W39" s="8"/>
    </row>
    <row r="40" spans="1:31" x14ac:dyDescent="0.2">
      <c r="A40" s="1" t="s">
        <v>2</v>
      </c>
      <c r="D40" s="96">
        <f t="shared" si="32"/>
        <v>18.843027268150124</v>
      </c>
      <c r="E40" s="96">
        <f t="shared" si="33"/>
        <v>18.722376533165519</v>
      </c>
      <c r="F40" s="96">
        <f t="shared" si="34"/>
        <v>18.694221123364819</v>
      </c>
      <c r="G40" s="102">
        <f t="shared" si="35"/>
        <v>18.722376533165519</v>
      </c>
      <c r="H40" s="96">
        <f t="shared" si="36"/>
        <v>18.659001450763203</v>
      </c>
      <c r="I40" s="96">
        <f t="shared" si="37"/>
        <v>18.693170609889901</v>
      </c>
      <c r="J40" s="96">
        <f t="shared" si="38"/>
        <v>18.712207605726853</v>
      </c>
      <c r="K40" s="96">
        <f t="shared" si="39"/>
        <v>18.471424613776847</v>
      </c>
      <c r="L40" s="6"/>
      <c r="M40" s="20" t="s">
        <v>25</v>
      </c>
      <c r="N40" s="27">
        <f t="shared" si="29"/>
        <v>3.172160819871369E-3</v>
      </c>
      <c r="O40" s="8">
        <f t="shared" si="29"/>
        <v>3.1264734273189114E-3</v>
      </c>
      <c r="P40" s="8">
        <f t="shared" si="29"/>
        <v>3.1159173566568769E-3</v>
      </c>
      <c r="Q40" s="28">
        <f t="shared" si="29"/>
        <v>3.126473427318911E-3</v>
      </c>
      <c r="R40" s="35">
        <f t="shared" si="29"/>
        <v>3.1264734273189114E-3</v>
      </c>
      <c r="S40" s="5">
        <f t="shared" si="29"/>
        <v>3.1264734273189114E-3</v>
      </c>
      <c r="T40" s="5">
        <f t="shared" si="29"/>
        <v>3.1264734273189114E-3</v>
      </c>
      <c r="U40" s="36">
        <f t="shared" si="29"/>
        <v>3.1264734273189114E-3</v>
      </c>
      <c r="V40" s="3"/>
      <c r="W40" s="8"/>
    </row>
    <row r="41" spans="1:31" x14ac:dyDescent="0.2">
      <c r="A41" s="1" t="s">
        <v>20</v>
      </c>
      <c r="D41" s="96">
        <f t="shared" si="32"/>
        <v>-5.8347764978870957</v>
      </c>
      <c r="E41" s="96">
        <f t="shared" si="33"/>
        <v>0</v>
      </c>
      <c r="F41" s="96">
        <f t="shared" si="34"/>
        <v>1.3616205770685654</v>
      </c>
      <c r="G41" s="102">
        <f t="shared" si="35"/>
        <v>0</v>
      </c>
      <c r="H41" s="96">
        <f t="shared" si="36"/>
        <v>3.0648751654919346</v>
      </c>
      <c r="I41" s="96">
        <f t="shared" si="37"/>
        <v>1.4124243399711756</v>
      </c>
      <c r="J41" s="96">
        <f t="shared" si="38"/>
        <v>0.49177834544817606</v>
      </c>
      <c r="K41" s="96">
        <f t="shared" si="39"/>
        <v>12.136257284594508</v>
      </c>
      <c r="L41" s="19"/>
      <c r="M41" s="20" t="s">
        <v>27</v>
      </c>
      <c r="N41" s="27">
        <f t="shared" si="29"/>
        <v>1.0045742335091411E-2</v>
      </c>
      <c r="O41" s="8">
        <f t="shared" si="29"/>
        <v>9.9010574342915918E-3</v>
      </c>
      <c r="P41" s="8">
        <f t="shared" si="29"/>
        <v>9.8676279923548757E-3</v>
      </c>
      <c r="Q41" s="28">
        <f t="shared" si="29"/>
        <v>9.9010574342915901E-3</v>
      </c>
      <c r="R41" s="35">
        <f t="shared" si="29"/>
        <v>9.9010574342915918E-3</v>
      </c>
      <c r="S41" s="5">
        <f t="shared" si="29"/>
        <v>9.9010574342915918E-3</v>
      </c>
      <c r="T41" s="5">
        <f t="shared" si="29"/>
        <v>9.9010574342915918E-3</v>
      </c>
      <c r="U41" s="36">
        <f t="shared" si="29"/>
        <v>9.9010574342915918E-3</v>
      </c>
      <c r="V41" s="3"/>
      <c r="W41" s="8"/>
    </row>
    <row r="42" spans="1:31" x14ac:dyDescent="0.2">
      <c r="A42" s="1" t="s">
        <v>8</v>
      </c>
      <c r="D42" s="96">
        <f t="shared" si="32"/>
        <v>16.390226211525732</v>
      </c>
      <c r="E42" s="96">
        <f t="shared" si="33"/>
        <v>11.068701147826395</v>
      </c>
      <c r="F42" s="96">
        <f t="shared" si="34"/>
        <v>9.826854432576372</v>
      </c>
      <c r="G42" s="102">
        <f t="shared" si="35"/>
        <v>11.068701147826395</v>
      </c>
      <c r="H42" s="96">
        <f t="shared" si="36"/>
        <v>8.2734252677337921</v>
      </c>
      <c r="I42" s="96">
        <f t="shared" si="37"/>
        <v>9.7805195819245263</v>
      </c>
      <c r="J42" s="96">
        <f t="shared" si="38"/>
        <v>10.620181690048581</v>
      </c>
      <c r="K42" s="96">
        <f t="shared" si="39"/>
        <v>0</v>
      </c>
      <c r="L42" s="19"/>
      <c r="M42" s="10" t="s">
        <v>28</v>
      </c>
      <c r="N42" s="31">
        <f t="shared" ref="N42:U42" si="40">$Q11*N29</f>
        <v>0.92255159107505014</v>
      </c>
      <c r="O42" s="26">
        <f t="shared" si="40"/>
        <v>0.90926444105815751</v>
      </c>
      <c r="P42" s="26">
        <f t="shared" si="40"/>
        <v>0.90619444545019356</v>
      </c>
      <c r="Q42" s="32">
        <f t="shared" si="40"/>
        <v>0.9092644410581574</v>
      </c>
      <c r="R42" s="37">
        <f t="shared" si="40"/>
        <v>0.90926444105815751</v>
      </c>
      <c r="S42" s="22">
        <f t="shared" si="40"/>
        <v>0.90926444105815751</v>
      </c>
      <c r="T42" s="22">
        <f t="shared" si="40"/>
        <v>0.90926444105815751</v>
      </c>
      <c r="U42" s="38">
        <f t="shared" si="40"/>
        <v>0.90926444105815751</v>
      </c>
      <c r="V42" s="3"/>
      <c r="W42" s="8"/>
    </row>
    <row r="43" spans="1:31" x14ac:dyDescent="0.2">
      <c r="A43" s="1" t="s">
        <v>7</v>
      </c>
      <c r="D43" s="96">
        <f t="shared" si="32"/>
        <v>9.0980281874115415E-2</v>
      </c>
      <c r="E43" s="96">
        <f t="shared" si="33"/>
        <v>9.0397740771721927E-2</v>
      </c>
      <c r="F43" s="96">
        <f t="shared" si="34"/>
        <v>9.0261797269465344E-2</v>
      </c>
      <c r="G43" s="102">
        <f t="shared" si="35"/>
        <v>9.0397740771721913E-2</v>
      </c>
      <c r="H43" s="96">
        <f t="shared" si="36"/>
        <v>9.0091745202182855E-2</v>
      </c>
      <c r="I43" s="96">
        <f t="shared" si="37"/>
        <v>9.0256725047751646E-2</v>
      </c>
      <c r="J43" s="96">
        <f t="shared" si="38"/>
        <v>9.0348641873144675E-2</v>
      </c>
      <c r="K43" s="96">
        <f t="shared" si="39"/>
        <v>8.9186063049351741E-2</v>
      </c>
      <c r="L43" s="19"/>
      <c r="M43" s="20" t="s">
        <v>45</v>
      </c>
      <c r="N43" s="27">
        <f t="shared" ref="N43:U43" si="41">SUM(N33:N42)</f>
        <v>22.321487663183497</v>
      </c>
      <c r="O43" s="8">
        <f t="shared" si="41"/>
        <v>22</v>
      </c>
      <c r="P43" s="8">
        <f t="shared" si="41"/>
        <v>21.92572028518282</v>
      </c>
      <c r="Q43" s="28">
        <f t="shared" si="41"/>
        <v>22</v>
      </c>
      <c r="R43" s="35">
        <f t="shared" si="41"/>
        <v>22.168079481731017</v>
      </c>
      <c r="S43" s="5">
        <f t="shared" si="41"/>
        <v>22.07731656159627</v>
      </c>
      <c r="T43" s="5">
        <f t="shared" si="41"/>
        <v>22.026892717076965</v>
      </c>
      <c r="U43" s="36">
        <f t="shared" si="41"/>
        <v>22.672317926924059</v>
      </c>
      <c r="V43" s="3"/>
      <c r="W43" s="8"/>
    </row>
    <row r="44" spans="1:31" x14ac:dyDescent="0.2">
      <c r="A44" s="6" t="s">
        <v>1</v>
      </c>
      <c r="B44" s="6"/>
      <c r="C44" s="6"/>
      <c r="D44" s="96">
        <f t="shared" si="32"/>
        <v>16.548302380880774</v>
      </c>
      <c r="E44" s="96">
        <f t="shared" si="33"/>
        <v>16.442344627034309</v>
      </c>
      <c r="F44" s="96">
        <f t="shared" si="34"/>
        <v>16.417618014457197</v>
      </c>
      <c r="G44" s="102">
        <f t="shared" si="35"/>
        <v>16.442344627034313</v>
      </c>
      <c r="H44" s="96">
        <f t="shared" si="36"/>
        <v>16.386687432885928</v>
      </c>
      <c r="I44" s="96">
        <f t="shared" si="37"/>
        <v>16.416695433685501</v>
      </c>
      <c r="J44" s="96">
        <f t="shared" si="38"/>
        <v>16.433414082926429</v>
      </c>
      <c r="K44" s="96">
        <f t="shared" si="39"/>
        <v>16.221953912420979</v>
      </c>
      <c r="L44" s="19"/>
      <c r="M44" s="90" t="s">
        <v>70</v>
      </c>
      <c r="N44" s="29"/>
      <c r="O44" s="6"/>
      <c r="P44" s="6"/>
      <c r="Q44" s="30"/>
      <c r="R44" s="33"/>
      <c r="S44" s="3"/>
      <c r="T44" s="3"/>
      <c r="U44" s="34"/>
      <c r="V44" s="3"/>
      <c r="W44" s="6"/>
      <c r="X44" s="58" t="s">
        <v>34</v>
      </c>
      <c r="Y44" s="59" t="s">
        <v>36</v>
      </c>
      <c r="Z44" s="59" t="s">
        <v>37</v>
      </c>
      <c r="AA44" s="60" t="s">
        <v>38</v>
      </c>
      <c r="AB44" s="61" t="s">
        <v>39</v>
      </c>
      <c r="AC44" s="62" t="s">
        <v>40</v>
      </c>
      <c r="AD44" s="62" t="s">
        <v>41</v>
      </c>
      <c r="AE44" s="63" t="s">
        <v>42</v>
      </c>
    </row>
    <row r="45" spans="1:31" ht="12" customHeight="1" x14ac:dyDescent="0.2">
      <c r="A45" s="6" t="s">
        <v>5</v>
      </c>
      <c r="B45" s="6"/>
      <c r="C45" s="6"/>
      <c r="D45" s="96">
        <f t="shared" si="32"/>
        <v>2.0217840416470095E-2</v>
      </c>
      <c r="E45" s="96">
        <f t="shared" si="33"/>
        <v>2.008838683816043E-2</v>
      </c>
      <c r="F45" s="96">
        <f t="shared" si="34"/>
        <v>2.00581771709923E-2</v>
      </c>
      <c r="G45" s="102">
        <f t="shared" si="35"/>
        <v>2.0088386838160433E-2</v>
      </c>
      <c r="H45" s="96">
        <f t="shared" si="36"/>
        <v>2.0020387822707306E-2</v>
      </c>
      <c r="I45" s="96">
        <f t="shared" si="37"/>
        <v>2.005705001061148E-2</v>
      </c>
      <c r="J45" s="96">
        <f t="shared" si="38"/>
        <v>2.0077475971809932E-2</v>
      </c>
      <c r="K45" s="96">
        <f t="shared" si="39"/>
        <v>1.9819125122078167E-2</v>
      </c>
      <c r="L45" s="19"/>
      <c r="M45" s="20" t="s">
        <v>16</v>
      </c>
      <c r="N45" s="29"/>
      <c r="O45" s="6"/>
      <c r="P45" s="6"/>
      <c r="Q45" s="30"/>
      <c r="R45" s="33"/>
      <c r="S45" s="3"/>
      <c r="T45" s="3"/>
      <c r="U45" s="34"/>
      <c r="V45" s="3"/>
      <c r="W45" s="6" t="s">
        <v>78</v>
      </c>
    </row>
    <row r="46" spans="1:31" x14ac:dyDescent="0.2">
      <c r="A46" s="6" t="s">
        <v>26</v>
      </c>
      <c r="B46" s="6"/>
      <c r="C46" s="6"/>
      <c r="D46" s="96">
        <f t="shared" si="32"/>
        <v>7.0762441457645334E-2</v>
      </c>
      <c r="E46" s="96">
        <f t="shared" si="33"/>
        <v>7.0309353933561511E-2</v>
      </c>
      <c r="F46" s="96">
        <f t="shared" si="34"/>
        <v>7.0203620098473057E-2</v>
      </c>
      <c r="G46" s="102">
        <f t="shared" si="35"/>
        <v>7.0309353933561511E-2</v>
      </c>
      <c r="H46" s="96">
        <f t="shared" si="36"/>
        <v>7.0071357379475563E-2</v>
      </c>
      <c r="I46" s="96">
        <f t="shared" si="37"/>
        <v>7.0199675037140197E-2</v>
      </c>
      <c r="J46" s="96">
        <f t="shared" si="38"/>
        <v>7.0271165901334767E-2</v>
      </c>
      <c r="K46" s="96">
        <f t="shared" si="39"/>
        <v>6.9366937927273595E-2</v>
      </c>
      <c r="L46" s="19"/>
      <c r="M46" s="20" t="s">
        <v>17</v>
      </c>
      <c r="N46" s="27">
        <f t="shared" ref="N46:Q48" si="42">N20</f>
        <v>2.7534709432940359</v>
      </c>
      <c r="O46" s="8">
        <f t="shared" si="42"/>
        <v>2.7138137774025659</v>
      </c>
      <c r="P46" s="8">
        <f t="shared" si="42"/>
        <v>2.7046509904274565</v>
      </c>
      <c r="Q46" s="28">
        <f t="shared" si="42"/>
        <v>2.7138137774025655</v>
      </c>
      <c r="R46" s="35">
        <f t="shared" ref="R46:U55" si="43">R20*22/R$43</f>
        <v>2.6932375063008576</v>
      </c>
      <c r="S46" s="5">
        <f t="shared" si="43"/>
        <v>2.704309780415616</v>
      </c>
      <c r="T46" s="5">
        <f t="shared" si="43"/>
        <v>2.7105004718422827</v>
      </c>
      <c r="U46" s="36">
        <f t="shared" si="43"/>
        <v>2.6333391801971988</v>
      </c>
      <c r="V46" s="3"/>
      <c r="W46" s="19" t="s">
        <v>3</v>
      </c>
      <c r="X46" s="2">
        <f>N46*$N2</f>
        <v>165.44037419816183</v>
      </c>
      <c r="Y46" s="2">
        <f t="shared" ref="Y46:AE47" si="44">O46*$N2</f>
        <v>163.05760114558899</v>
      </c>
      <c r="Z46" s="2">
        <f t="shared" si="44"/>
        <v>162.50706150414041</v>
      </c>
      <c r="AA46" s="2">
        <f t="shared" si="44"/>
        <v>163.05760114558896</v>
      </c>
      <c r="AB46" s="2">
        <f t="shared" si="44"/>
        <v>161.82129029983261</v>
      </c>
      <c r="AC46" s="2">
        <f t="shared" si="44"/>
        <v>162.48656013942599</v>
      </c>
      <c r="AD46" s="2">
        <f t="shared" si="44"/>
        <v>162.85852350031325</v>
      </c>
      <c r="AE46" s="2">
        <f t="shared" si="44"/>
        <v>158.22234130472256</v>
      </c>
    </row>
    <row r="47" spans="1:31" x14ac:dyDescent="0.2">
      <c r="A47" s="41" t="s">
        <v>4</v>
      </c>
      <c r="B47" s="41"/>
      <c r="C47" s="41"/>
      <c r="D47" s="97">
        <f t="shared" si="32"/>
        <v>9.8764150434456397</v>
      </c>
      <c r="E47" s="97">
        <f t="shared" si="33"/>
        <v>9.8131769704413685</v>
      </c>
      <c r="F47" s="97">
        <f t="shared" si="34"/>
        <v>9.7984195480297362</v>
      </c>
      <c r="G47" s="103">
        <f t="shared" si="35"/>
        <v>9.8131769704413703</v>
      </c>
      <c r="H47" s="97">
        <f t="shared" si="36"/>
        <v>9.7799594513925161</v>
      </c>
      <c r="I47" s="97">
        <f t="shared" si="37"/>
        <v>9.7978689301837072</v>
      </c>
      <c r="J47" s="97">
        <f t="shared" si="38"/>
        <v>9.8078470122291499</v>
      </c>
      <c r="K47" s="97">
        <f t="shared" si="39"/>
        <v>9.6816426221351843</v>
      </c>
      <c r="L47" s="19"/>
      <c r="M47" s="20" t="s">
        <v>18</v>
      </c>
      <c r="N47" s="27">
        <f t="shared" si="42"/>
        <v>0.1263525945771089</v>
      </c>
      <c r="O47" s="8">
        <f t="shared" si="42"/>
        <v>0.12453278753822745</v>
      </c>
      <c r="P47" s="8">
        <f t="shared" si="42"/>
        <v>0.12411232117714888</v>
      </c>
      <c r="Q47" s="28">
        <f t="shared" si="42"/>
        <v>0.12453278753822744</v>
      </c>
      <c r="R47" s="35">
        <f t="shared" si="43"/>
        <v>0.12358857374626618</v>
      </c>
      <c r="S47" s="5">
        <f t="shared" si="43"/>
        <v>0.12409666356855971</v>
      </c>
      <c r="T47" s="5">
        <f t="shared" si="43"/>
        <v>0.12438074498437804</v>
      </c>
      <c r="U47" s="36">
        <f t="shared" si="43"/>
        <v>0.1208399306445638</v>
      </c>
      <c r="V47" s="3"/>
      <c r="W47" s="19" t="s">
        <v>6</v>
      </c>
      <c r="X47" s="2">
        <f t="shared" ref="X47:X53" si="45">N47*$N3</f>
        <v>10.095420683597508</v>
      </c>
      <c r="Y47" s="2">
        <f t="shared" si="44"/>
        <v>9.9500202849593276</v>
      </c>
      <c r="Z47" s="2">
        <f t="shared" si="44"/>
        <v>9.9164255272687818</v>
      </c>
      <c r="AA47" s="2">
        <f t="shared" si="44"/>
        <v>9.9500202849593258</v>
      </c>
      <c r="AB47" s="2">
        <f t="shared" si="44"/>
        <v>9.8745787360381723</v>
      </c>
      <c r="AC47" s="2">
        <f t="shared" si="44"/>
        <v>9.9151745031316381</v>
      </c>
      <c r="AD47" s="2">
        <f t="shared" si="44"/>
        <v>9.9378722673578235</v>
      </c>
      <c r="AE47" s="2">
        <f t="shared" si="44"/>
        <v>9.6549654505838731</v>
      </c>
    </row>
    <row r="48" spans="1:31" x14ac:dyDescent="0.2">
      <c r="A48" s="95" t="s">
        <v>76</v>
      </c>
      <c r="B48" s="95"/>
      <c r="C48" s="95"/>
      <c r="D48" s="98">
        <f t="shared" si="32"/>
        <v>4.0949369682328385</v>
      </c>
      <c r="E48" s="98">
        <f t="shared" si="33"/>
        <v>4.1281738148793483</v>
      </c>
      <c r="F48" s="98">
        <f t="shared" si="34"/>
        <v>4.1359300630110711</v>
      </c>
      <c r="G48" s="104">
        <f t="shared" si="35"/>
        <v>4.1281738148793483</v>
      </c>
      <c r="H48" s="98">
        <f t="shared" si="36"/>
        <v>4.1456323732153928</v>
      </c>
      <c r="I48" s="98">
        <f t="shared" si="37"/>
        <v>4.136219458307921</v>
      </c>
      <c r="J48" s="98">
        <f t="shared" si="38"/>
        <v>4.1309751495076164</v>
      </c>
      <c r="K48" s="98">
        <f t="shared" si="39"/>
        <v>4.1973060125525059</v>
      </c>
      <c r="L48" s="19"/>
      <c r="M48" s="20" t="s">
        <v>19</v>
      </c>
      <c r="N48" s="27">
        <f t="shared" si="42"/>
        <v>1.6260710932111979</v>
      </c>
      <c r="O48" s="8">
        <f t="shared" si="42"/>
        <v>1.6026514267528134</v>
      </c>
      <c r="P48" s="8">
        <f t="shared" si="42"/>
        <v>1.5972403135286972</v>
      </c>
      <c r="Q48" s="28">
        <f t="shared" si="42"/>
        <v>1.6026514267528131</v>
      </c>
      <c r="R48" s="35">
        <f t="shared" si="43"/>
        <v>1.5905000438860168</v>
      </c>
      <c r="S48" s="5">
        <f t="shared" si="43"/>
        <v>1.5970388108622831</v>
      </c>
      <c r="T48" s="5">
        <f t="shared" si="43"/>
        <v>1.6006947435317049</v>
      </c>
      <c r="U48" s="36">
        <f t="shared" si="43"/>
        <v>1.5551268953710093</v>
      </c>
      <c r="V48" s="3"/>
      <c r="W48" s="19" t="s">
        <v>2</v>
      </c>
      <c r="X48" s="2">
        <f>N48*$N4/2</f>
        <v>82.898079974562791</v>
      </c>
      <c r="Y48" s="2">
        <f t="shared" ref="Y48:AE48" si="46">O48*$N4/2</f>
        <v>81.704131326714474</v>
      </c>
      <c r="Z48" s="2">
        <f t="shared" si="46"/>
        <v>81.428269527881099</v>
      </c>
      <c r="AA48" s="2">
        <f t="shared" si="46"/>
        <v>81.70413132671446</v>
      </c>
      <c r="AB48" s="2">
        <f t="shared" si="46"/>
        <v>81.084646537335459</v>
      </c>
      <c r="AC48" s="2">
        <f t="shared" si="46"/>
        <v>81.417996801045703</v>
      </c>
      <c r="AD48" s="2">
        <f t="shared" si="46"/>
        <v>81.604378442092425</v>
      </c>
      <c r="AE48" s="2">
        <f t="shared" si="46"/>
        <v>79.281302202151267</v>
      </c>
    </row>
    <row r="49" spans="1:31" x14ac:dyDescent="0.2">
      <c r="A49" s="6" t="s">
        <v>30</v>
      </c>
      <c r="B49" s="6"/>
      <c r="C49" s="6"/>
      <c r="D49" s="96">
        <f t="shared" si="32"/>
        <v>99.999999999999972</v>
      </c>
      <c r="E49" s="96">
        <f t="shared" si="33"/>
        <v>100</v>
      </c>
      <c r="F49" s="96">
        <f t="shared" si="34"/>
        <v>100</v>
      </c>
      <c r="G49" s="102">
        <f t="shared" si="35"/>
        <v>100.00000000000001</v>
      </c>
      <c r="H49" s="96">
        <f t="shared" si="36"/>
        <v>100.00000000000001</v>
      </c>
      <c r="I49" s="96">
        <f t="shared" si="37"/>
        <v>100</v>
      </c>
      <c r="J49" s="96">
        <f t="shared" si="38"/>
        <v>99.999999999999986</v>
      </c>
      <c r="K49" s="96">
        <f t="shared" si="39"/>
        <v>100</v>
      </c>
      <c r="L49" s="19"/>
      <c r="M49" s="20" t="s">
        <v>21</v>
      </c>
      <c r="N49" s="27">
        <f>22-N43</f>
        <v>-0.32148766318349686</v>
      </c>
      <c r="O49" s="8">
        <f t="shared" ref="O49:Q49" si="47">22-O43</f>
        <v>0</v>
      </c>
      <c r="P49" s="8">
        <f t="shared" si="47"/>
        <v>7.427971481718032E-2</v>
      </c>
      <c r="Q49" s="28">
        <f t="shared" si="47"/>
        <v>0</v>
      </c>
      <c r="R49" s="35">
        <f t="shared" si="43"/>
        <v>0.16680509473676713</v>
      </c>
      <c r="S49" s="5">
        <f t="shared" si="43"/>
        <v>7.7045792697320648E-2</v>
      </c>
      <c r="T49" s="5">
        <f t="shared" si="43"/>
        <v>2.685988365642181E-2</v>
      </c>
      <c r="U49" s="36">
        <f t="shared" si="43"/>
        <v>0.65238121836517438</v>
      </c>
      <c r="V49" s="3"/>
      <c r="W49" s="19" t="s">
        <v>20</v>
      </c>
      <c r="X49" s="2">
        <f>N49*$N5/2</f>
        <v>-25.66953610331581</v>
      </c>
      <c r="Y49" s="2">
        <f t="shared" ref="Y49:AE49" si="48">O49*$N5/2</f>
        <v>0</v>
      </c>
      <c r="Z49" s="2">
        <f t="shared" si="48"/>
        <v>5.930945537264062</v>
      </c>
      <c r="AA49" s="2">
        <f t="shared" si="48"/>
        <v>0</v>
      </c>
      <c r="AB49" s="2">
        <f t="shared" si="48"/>
        <v>13.318736274861383</v>
      </c>
      <c r="AC49" s="2">
        <f t="shared" si="48"/>
        <v>6.1518060682895346</v>
      </c>
      <c r="AD49" s="2">
        <f t="shared" si="48"/>
        <v>2.1446569564190217</v>
      </c>
      <c r="AE49" s="2">
        <f t="shared" si="48"/>
        <v>52.090095999707557</v>
      </c>
    </row>
    <row r="50" spans="1:31" x14ac:dyDescent="0.2">
      <c r="A50" s="6"/>
      <c r="B50" s="6"/>
      <c r="C50" s="6"/>
      <c r="D50" s="6"/>
      <c r="E50" s="6"/>
      <c r="F50" s="19"/>
      <c r="G50" s="9"/>
      <c r="H50" s="9"/>
      <c r="I50" s="6"/>
      <c r="J50" s="6"/>
      <c r="K50" s="6"/>
      <c r="L50" s="19"/>
      <c r="M50" s="20" t="s">
        <v>22</v>
      </c>
      <c r="N50" s="27">
        <f>N24-N49</f>
        <v>1.0036302228004284</v>
      </c>
      <c r="O50" s="8">
        <f>O24-O49</f>
        <v>0.67231792692405923</v>
      </c>
      <c r="P50" s="8">
        <f>P24-P49</f>
        <v>0.59576823102149712</v>
      </c>
      <c r="Q50" s="28">
        <f>Q24-Q49</f>
        <v>0.67231792692405912</v>
      </c>
      <c r="R50" s="35">
        <f t="shared" si="43"/>
        <v>0.50041528421030135</v>
      </c>
      <c r="S50" s="5">
        <f t="shared" si="43"/>
        <v>0.59291762206198917</v>
      </c>
      <c r="T50" s="5">
        <f t="shared" si="43"/>
        <v>0.64463720775412336</v>
      </c>
      <c r="U50" s="36">
        <f t="shared" si="43"/>
        <v>0</v>
      </c>
      <c r="V50" s="3"/>
      <c r="W50" s="19" t="s">
        <v>8</v>
      </c>
      <c r="X50" s="2">
        <f t="shared" si="45"/>
        <v>72.107218439408697</v>
      </c>
      <c r="Y50" s="2">
        <f t="shared" ref="Y50:Y53" si="49">O50*$N6</f>
        <v>48.30362270495673</v>
      </c>
      <c r="Z50" s="2">
        <f t="shared" ref="Z50:Z53" si="50">P50*$N6</f>
        <v>42.80380263326289</v>
      </c>
      <c r="AA50" s="2">
        <f t="shared" ref="AA50:AA53" si="51">Q50*$N6</f>
        <v>48.303622704956723</v>
      </c>
      <c r="AB50" s="2">
        <f t="shared" ref="AB50:AB53" si="52">R50*$N6</f>
        <v>35.953036675486999</v>
      </c>
      <c r="AC50" s="2">
        <f t="shared" ref="AC50:AC53" si="53">S50*$N6</f>
        <v>42.5989966417145</v>
      </c>
      <c r="AD50" s="2">
        <f t="shared" ref="AD50:AD53" si="54">T50*$N6</f>
        <v>46.314862683185851</v>
      </c>
      <c r="AE50" s="2">
        <f t="shared" ref="AE50:AE53" si="55">U50*$N6</f>
        <v>0</v>
      </c>
    </row>
    <row r="51" spans="1:31" x14ac:dyDescent="0.2">
      <c r="A51" s="49" t="s">
        <v>52</v>
      </c>
      <c r="B51" s="49"/>
      <c r="C51" s="49"/>
      <c r="D51" s="50" t="str">
        <f>IF(AND(D52:D55),"OK","BAD")</f>
        <v>BAD</v>
      </c>
      <c r="E51" s="50" t="str">
        <f t="shared" ref="E51:K51" si="56">IF(AND(E52:E55),"OK","BAD")</f>
        <v>OK</v>
      </c>
      <c r="F51" s="50" t="str">
        <f t="shared" si="56"/>
        <v>OK</v>
      </c>
      <c r="G51" s="78" t="str">
        <f t="shared" si="56"/>
        <v>OK</v>
      </c>
      <c r="H51" s="50" t="str">
        <f t="shared" si="56"/>
        <v>OK</v>
      </c>
      <c r="I51" s="50" t="str">
        <f t="shared" si="56"/>
        <v>OK</v>
      </c>
      <c r="J51" s="50" t="str">
        <f t="shared" si="56"/>
        <v>OK</v>
      </c>
      <c r="K51" s="50" t="str">
        <f t="shared" si="56"/>
        <v>OK</v>
      </c>
      <c r="L51" s="6"/>
      <c r="M51" s="20" t="s">
        <v>23</v>
      </c>
      <c r="N51" s="27">
        <f t="shared" ref="N51:Q55" si="57">N25</f>
        <v>5.6424251499810037E-3</v>
      </c>
      <c r="O51" s="8">
        <f t="shared" si="57"/>
        <v>5.5611595057046539E-3</v>
      </c>
      <c r="P51" s="8">
        <f t="shared" si="57"/>
        <v>5.5423830810620803E-3</v>
      </c>
      <c r="Q51" s="28">
        <f t="shared" si="57"/>
        <v>5.561159505704653E-3</v>
      </c>
      <c r="R51" s="35">
        <f t="shared" si="43"/>
        <v>5.5189945176048654E-3</v>
      </c>
      <c r="S51" s="5">
        <f t="shared" si="43"/>
        <v>5.541683871957687E-3</v>
      </c>
      <c r="T51" s="5">
        <f t="shared" si="43"/>
        <v>5.5543698649174701E-3</v>
      </c>
      <c r="U51" s="36">
        <f t="shared" si="43"/>
        <v>5.396250595983987E-3</v>
      </c>
      <c r="V51" s="3"/>
      <c r="W51" s="19" t="s">
        <v>7</v>
      </c>
      <c r="X51" s="2">
        <f t="shared" si="45"/>
        <v>0.40025896983426246</v>
      </c>
      <c r="Y51" s="2">
        <f t="shared" si="49"/>
        <v>0.39449419631997329</v>
      </c>
      <c r="Z51" s="2">
        <f t="shared" si="50"/>
        <v>0.39316224557453322</v>
      </c>
      <c r="AA51" s="2">
        <f t="shared" si="51"/>
        <v>0.39449419631997323</v>
      </c>
      <c r="AB51" s="2">
        <f t="shared" si="52"/>
        <v>0.39150312169314339</v>
      </c>
      <c r="AC51" s="2">
        <f t="shared" si="53"/>
        <v>0.39311264549861119</v>
      </c>
      <c r="AD51" s="2">
        <f t="shared" si="54"/>
        <v>0.3940125568555965</v>
      </c>
      <c r="AE51" s="2">
        <f t="shared" si="55"/>
        <v>0.38279598702755446</v>
      </c>
    </row>
    <row r="52" spans="1:31" x14ac:dyDescent="0.2">
      <c r="A52" s="6" t="s">
        <v>53</v>
      </c>
      <c r="B52" s="6"/>
      <c r="C52" s="6"/>
      <c r="D52" s="43" t="b">
        <f t="shared" ref="D52:K52" si="58">IF(MIN(D18:D33,D35)&lt;-0.00049999999,FALSE,TRUE)</f>
        <v>0</v>
      </c>
      <c r="E52" s="43" t="b">
        <f t="shared" si="58"/>
        <v>1</v>
      </c>
      <c r="F52" s="43" t="b">
        <f t="shared" si="58"/>
        <v>1</v>
      </c>
      <c r="G52" s="79" t="b">
        <f t="shared" si="58"/>
        <v>1</v>
      </c>
      <c r="H52" s="43" t="b">
        <f t="shared" si="58"/>
        <v>1</v>
      </c>
      <c r="I52" s="43" t="b">
        <f t="shared" si="58"/>
        <v>1</v>
      </c>
      <c r="J52" s="43" t="b">
        <f t="shared" si="58"/>
        <v>1</v>
      </c>
      <c r="K52" s="43" t="b">
        <f t="shared" si="58"/>
        <v>1</v>
      </c>
      <c r="L52" s="6"/>
      <c r="M52" s="20" t="s">
        <v>24</v>
      </c>
      <c r="N52" s="27">
        <f t="shared" si="57"/>
        <v>1.8063203841507451</v>
      </c>
      <c r="O52" s="8">
        <f t="shared" si="57"/>
        <v>1.7803046575995463</v>
      </c>
      <c r="P52" s="8">
        <f t="shared" si="57"/>
        <v>1.7742937247698098</v>
      </c>
      <c r="Q52" s="28">
        <f t="shared" si="57"/>
        <v>1.780304657599546</v>
      </c>
      <c r="R52" s="35">
        <f t="shared" si="43"/>
        <v>1.7668062990963098</v>
      </c>
      <c r="S52" s="5">
        <f t="shared" si="43"/>
        <v>1.7740698856182966</v>
      </c>
      <c r="T52" s="5">
        <f t="shared" si="43"/>
        <v>1.7781310768733594</v>
      </c>
      <c r="U52" s="36">
        <f t="shared" si="43"/>
        <v>1.7275120520729106</v>
      </c>
      <c r="V52" s="3"/>
      <c r="W52" s="19" t="s">
        <v>1</v>
      </c>
      <c r="X52" s="2">
        <f t="shared" si="45"/>
        <v>72.802659290965295</v>
      </c>
      <c r="Y52" s="2">
        <f t="shared" si="49"/>
        <v>71.754111041755152</v>
      </c>
      <c r="Z52" s="2">
        <f t="shared" si="50"/>
        <v>71.511844000612328</v>
      </c>
      <c r="AA52" s="2">
        <f t="shared" si="51"/>
        <v>71.754111041755152</v>
      </c>
      <c r="AB52" s="2">
        <f t="shared" si="52"/>
        <v>71.210067801297313</v>
      </c>
      <c r="AC52" s="2">
        <f t="shared" si="53"/>
        <v>71.502822297914079</v>
      </c>
      <c r="AD52" s="2">
        <f t="shared" si="54"/>
        <v>71.666506174734621</v>
      </c>
      <c r="AE52" s="2">
        <f t="shared" si="55"/>
        <v>69.626336751567422</v>
      </c>
    </row>
    <row r="53" spans="1:31" x14ac:dyDescent="0.2">
      <c r="A53" s="6" t="s">
        <v>54</v>
      </c>
      <c r="B53" s="6"/>
      <c r="C53" s="6"/>
      <c r="D53" s="43" t="b">
        <f t="shared" ref="D53:K53" si="59">IF(D20=4,TRUE,FALSE)</f>
        <v>1</v>
      </c>
      <c r="E53" s="43" t="b">
        <f t="shared" si="59"/>
        <v>1</v>
      </c>
      <c r="F53" s="43" t="b">
        <f t="shared" si="59"/>
        <v>1</v>
      </c>
      <c r="G53" s="79" t="b">
        <f t="shared" si="59"/>
        <v>1</v>
      </c>
      <c r="H53" s="43" t="b">
        <f t="shared" si="59"/>
        <v>1</v>
      </c>
      <c r="I53" s="43" t="b">
        <f t="shared" si="59"/>
        <v>1</v>
      </c>
      <c r="J53" s="43" t="b">
        <f t="shared" si="59"/>
        <v>1</v>
      </c>
      <c r="K53" s="43" t="b">
        <f t="shared" si="59"/>
        <v>1</v>
      </c>
      <c r="L53" s="6"/>
      <c r="M53" s="20" t="s">
        <v>25</v>
      </c>
      <c r="N53" s="27">
        <f t="shared" si="57"/>
        <v>1.5860804099356845E-3</v>
      </c>
      <c r="O53" s="8">
        <f t="shared" si="57"/>
        <v>1.5632367136594557E-3</v>
      </c>
      <c r="P53" s="8">
        <f t="shared" si="57"/>
        <v>1.5579586783284385E-3</v>
      </c>
      <c r="Q53" s="28">
        <f t="shared" si="57"/>
        <v>1.5632367136594555E-3</v>
      </c>
      <c r="R53" s="35">
        <f t="shared" si="43"/>
        <v>1.5513841751086394E-3</v>
      </c>
      <c r="S53" s="5">
        <f t="shared" si="43"/>
        <v>1.5577621313059352E-3</v>
      </c>
      <c r="T53" s="5">
        <f t="shared" si="43"/>
        <v>1.5613281520114402E-3</v>
      </c>
      <c r="U53" s="36">
        <f t="shared" si="43"/>
        <v>1.5168809740298955E-3</v>
      </c>
      <c r="V53" s="3"/>
      <c r="W53" s="19" t="s">
        <v>5</v>
      </c>
      <c r="X53" s="2">
        <f t="shared" si="45"/>
        <v>8.8946437740947223E-2</v>
      </c>
      <c r="Y53" s="2">
        <f t="shared" si="49"/>
        <v>8.7665376959994074E-2</v>
      </c>
      <c r="Z53" s="2">
        <f t="shared" si="50"/>
        <v>8.7369387905451831E-2</v>
      </c>
      <c r="AA53" s="2">
        <f t="shared" si="51"/>
        <v>8.7665376959994074E-2</v>
      </c>
      <c r="AB53" s="2">
        <f t="shared" si="52"/>
        <v>8.7000693709587434E-2</v>
      </c>
      <c r="AC53" s="2">
        <f t="shared" si="53"/>
        <v>8.7358365666358059E-2</v>
      </c>
      <c r="AD53" s="2">
        <f t="shared" si="54"/>
        <v>8.7558345967910359E-2</v>
      </c>
      <c r="AE53" s="2">
        <f t="shared" si="55"/>
        <v>8.5065774895012131E-2</v>
      </c>
    </row>
    <row r="54" spans="1:31" x14ac:dyDescent="0.2">
      <c r="A54" s="6" t="s">
        <v>58</v>
      </c>
      <c r="B54" s="6"/>
      <c r="C54" s="6"/>
      <c r="D54" s="43" t="b">
        <f t="shared" ref="D54:K54" si="60">IF(D28&lt;3.00049999999999,TRUE,FALSE)</f>
        <v>1</v>
      </c>
      <c r="E54" s="43" t="b">
        <f t="shared" si="60"/>
        <v>1</v>
      </c>
      <c r="F54" s="43" t="b">
        <f t="shared" si="60"/>
        <v>1</v>
      </c>
      <c r="G54" s="79" t="b">
        <f t="shared" si="60"/>
        <v>1</v>
      </c>
      <c r="H54" s="43" t="b">
        <f t="shared" si="60"/>
        <v>1</v>
      </c>
      <c r="I54" s="43" t="b">
        <f t="shared" si="60"/>
        <v>1</v>
      </c>
      <c r="J54" s="43" t="b">
        <f t="shared" si="60"/>
        <v>1</v>
      </c>
      <c r="K54" s="43" t="b">
        <f t="shared" si="60"/>
        <v>1</v>
      </c>
      <c r="L54" s="6"/>
      <c r="M54" s="20" t="s">
        <v>27</v>
      </c>
      <c r="N54" s="27">
        <f t="shared" si="57"/>
        <v>1.0045742335091411E-2</v>
      </c>
      <c r="O54" s="8">
        <f t="shared" si="57"/>
        <v>9.9010574342915918E-3</v>
      </c>
      <c r="P54" s="8">
        <f t="shared" si="57"/>
        <v>9.8676279923548757E-3</v>
      </c>
      <c r="Q54" s="28">
        <f t="shared" si="57"/>
        <v>9.9010574342915901E-3</v>
      </c>
      <c r="R54" s="35">
        <f t="shared" si="43"/>
        <v>9.8259871241406279E-3</v>
      </c>
      <c r="S54" s="5">
        <f t="shared" si="43"/>
        <v>9.8663831243567413E-3</v>
      </c>
      <c r="T54" s="5">
        <f t="shared" si="43"/>
        <v>9.8889691956206543E-3</v>
      </c>
      <c r="U54" s="36">
        <f t="shared" si="43"/>
        <v>9.6074545291967416E-3</v>
      </c>
      <c r="V54" s="3"/>
      <c r="W54" s="19" t="s">
        <v>26</v>
      </c>
      <c r="X54" s="2">
        <f>N54*$N10/2</f>
        <v>0.31131253209331528</v>
      </c>
      <c r="Y54" s="2">
        <f t="shared" ref="Y54:AE54" si="61">O54*$N10/2</f>
        <v>0.3068288193599793</v>
      </c>
      <c r="Z54" s="2">
        <f t="shared" si="61"/>
        <v>0.30579285766908143</v>
      </c>
      <c r="AA54" s="2">
        <f t="shared" si="61"/>
        <v>0.30682881935997924</v>
      </c>
      <c r="AB54" s="2">
        <f t="shared" si="61"/>
        <v>0.30450242798355598</v>
      </c>
      <c r="AC54" s="2">
        <f t="shared" si="61"/>
        <v>0.30575427983225323</v>
      </c>
      <c r="AD54" s="2">
        <f t="shared" si="61"/>
        <v>0.30645421088768626</v>
      </c>
      <c r="AE54" s="2">
        <f t="shared" si="61"/>
        <v>0.29773021213254242</v>
      </c>
    </row>
    <row r="55" spans="1:31" x14ac:dyDescent="0.2">
      <c r="A55" s="41" t="s">
        <v>59</v>
      </c>
      <c r="B55" s="41"/>
      <c r="C55" s="41"/>
      <c r="D55" s="51" t="b">
        <f t="shared" ref="D55:K55" si="62">IF(D33&lt;1.00049999999999,TRUE,FALSE)</f>
        <v>1</v>
      </c>
      <c r="E55" s="51" t="b">
        <f t="shared" si="62"/>
        <v>1</v>
      </c>
      <c r="F55" s="51" t="b">
        <f t="shared" si="62"/>
        <v>1</v>
      </c>
      <c r="G55" s="80" t="b">
        <f t="shared" si="62"/>
        <v>1</v>
      </c>
      <c r="H55" s="51" t="b">
        <f t="shared" si="62"/>
        <v>1</v>
      </c>
      <c r="I55" s="51" t="b">
        <f t="shared" si="62"/>
        <v>1</v>
      </c>
      <c r="J55" s="51" t="b">
        <f t="shared" si="62"/>
        <v>1</v>
      </c>
      <c r="K55" s="51" t="b">
        <f t="shared" si="62"/>
        <v>1</v>
      </c>
      <c r="L55" s="6"/>
      <c r="M55" s="10" t="s">
        <v>28</v>
      </c>
      <c r="N55" s="31">
        <f t="shared" si="57"/>
        <v>0.92255159107505014</v>
      </c>
      <c r="O55" s="26">
        <f t="shared" si="57"/>
        <v>0.90926444105815751</v>
      </c>
      <c r="P55" s="26">
        <f t="shared" si="57"/>
        <v>0.90619444545019356</v>
      </c>
      <c r="Q55" s="32">
        <f t="shared" si="57"/>
        <v>0.9092644410581574</v>
      </c>
      <c r="R55" s="37">
        <f t="shared" si="43"/>
        <v>0.90237035282036293</v>
      </c>
      <c r="S55" s="22">
        <f t="shared" si="43"/>
        <v>0.90608012289302964</v>
      </c>
      <c r="T55" s="22">
        <f t="shared" si="43"/>
        <v>0.90815431664453272</v>
      </c>
      <c r="U55" s="38">
        <f t="shared" si="43"/>
        <v>0.88230139360935533</v>
      </c>
      <c r="V55" s="3"/>
      <c r="W55" s="15" t="s">
        <v>4</v>
      </c>
      <c r="X55" s="94">
        <f>N55*$N11/2</f>
        <v>43.450334836452711</v>
      </c>
      <c r="Y55" s="94">
        <f t="shared" ref="Y55:AE55" si="63">O55*$N11/2</f>
        <v>42.824536644957099</v>
      </c>
      <c r="Z55" s="94">
        <f t="shared" si="63"/>
        <v>42.679945991813213</v>
      </c>
      <c r="AA55" s="94">
        <f t="shared" si="63"/>
        <v>42.824536644957099</v>
      </c>
      <c r="AB55" s="94">
        <f t="shared" si="63"/>
        <v>42.499838877133449</v>
      </c>
      <c r="AC55" s="94">
        <f t="shared" si="63"/>
        <v>42.674561628015908</v>
      </c>
      <c r="AD55" s="94">
        <f t="shared" si="63"/>
        <v>42.772252005324198</v>
      </c>
      <c r="AE55" s="94">
        <f t="shared" si="63"/>
        <v>41.554631036213415</v>
      </c>
    </row>
    <row r="56" spans="1:31" x14ac:dyDescent="0.2">
      <c r="L56" s="6"/>
      <c r="M56" s="20" t="s">
        <v>45</v>
      </c>
      <c r="N56" s="27">
        <f>SUM(N46:N55)</f>
        <v>7.9341834138200777</v>
      </c>
      <c r="O56" s="8">
        <f t="shared" ref="O56:U56" si="64">SUM(O46:O55)</f>
        <v>7.8199104709290248</v>
      </c>
      <c r="P56" s="8">
        <f t="shared" si="64"/>
        <v>7.7935077109437287</v>
      </c>
      <c r="Q56" s="28">
        <f t="shared" si="64"/>
        <v>7.8199104709290239</v>
      </c>
      <c r="R56" s="35">
        <f t="shared" si="64"/>
        <v>7.7606195206137345</v>
      </c>
      <c r="S56" s="5">
        <f t="shared" si="64"/>
        <v>7.792524507244714</v>
      </c>
      <c r="T56" s="5">
        <f t="shared" si="64"/>
        <v>7.8103631124993518</v>
      </c>
      <c r="U56" s="36">
        <f t="shared" si="64"/>
        <v>7.588021256359422</v>
      </c>
      <c r="V56" s="3"/>
      <c r="W56" s="99" t="s">
        <v>76</v>
      </c>
      <c r="X56" s="53">
        <v>18.015280000000001</v>
      </c>
      <c r="Y56" s="53">
        <v>18.015280000000001</v>
      </c>
      <c r="Z56" s="53">
        <v>18.015280000000001</v>
      </c>
      <c r="AA56" s="53">
        <v>18.015280000000001</v>
      </c>
      <c r="AB56" s="53">
        <v>18.015280000000001</v>
      </c>
      <c r="AC56" s="53">
        <v>18.015280000000001</v>
      </c>
      <c r="AD56" s="53">
        <v>18.015280000000001</v>
      </c>
      <c r="AE56" s="53">
        <v>18.015280000000001</v>
      </c>
    </row>
    <row r="57" spans="1:31" ht="15" x14ac:dyDescent="0.25">
      <c r="A57" s="111" t="s">
        <v>75</v>
      </c>
      <c r="B57" s="111"/>
      <c r="C57" s="111"/>
      <c r="D57" s="111"/>
      <c r="E57" s="111"/>
      <c r="F57" s="111"/>
      <c r="G57" s="111"/>
      <c r="H57" s="111"/>
      <c r="I57" s="111"/>
      <c r="J57" s="111"/>
      <c r="K57" s="111"/>
      <c r="L57" s="108"/>
      <c r="M57" s="5"/>
      <c r="N57" s="27"/>
      <c r="O57" s="8"/>
      <c r="P57" s="8"/>
      <c r="Q57" s="28"/>
      <c r="R57" s="35"/>
      <c r="S57" s="5"/>
      <c r="T57" s="5"/>
      <c r="U57" s="34"/>
      <c r="V57" s="3"/>
      <c r="W57" s="8" t="s">
        <v>30</v>
      </c>
      <c r="X57" s="2">
        <f>SUM(X46:X56)</f>
        <v>439.94034925950166</v>
      </c>
      <c r="Y57" s="2">
        <f t="shared" ref="Y57:AE57" si="65">SUM(Y46:Y56)</f>
        <v>436.39829154157172</v>
      </c>
      <c r="Z57" s="2">
        <f t="shared" si="65"/>
        <v>435.57989921339185</v>
      </c>
      <c r="AA57" s="2">
        <f t="shared" si="65"/>
        <v>436.39829154157167</v>
      </c>
      <c r="AB57" s="2">
        <f t="shared" si="65"/>
        <v>434.56048144537169</v>
      </c>
      <c r="AC57" s="2">
        <f t="shared" si="65"/>
        <v>435.54942337053461</v>
      </c>
      <c r="AD57" s="2">
        <f t="shared" si="65"/>
        <v>436.10235714313842</v>
      </c>
      <c r="AE57" s="2">
        <f t="shared" si="65"/>
        <v>429.21054471900123</v>
      </c>
    </row>
    <row r="58" spans="1:31" x14ac:dyDescent="0.2">
      <c r="A58" s="107" t="s">
        <v>72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8"/>
      <c r="M58" s="5" t="s">
        <v>68</v>
      </c>
      <c r="N58" s="27"/>
      <c r="O58" s="8"/>
      <c r="P58" s="8"/>
      <c r="Q58" s="28"/>
      <c r="R58" s="35"/>
      <c r="S58" s="5"/>
      <c r="T58" s="5"/>
      <c r="U58" s="34"/>
      <c r="V58" s="3"/>
      <c r="W58" s="19" t="s">
        <v>83</v>
      </c>
    </row>
    <row r="59" spans="1:31" x14ac:dyDescent="0.2">
      <c r="A59" s="112"/>
      <c r="B59" s="112"/>
      <c r="C59" s="112"/>
      <c r="D59" s="112"/>
      <c r="E59" s="112"/>
      <c r="F59" s="112"/>
      <c r="G59" s="113"/>
      <c r="H59" s="112"/>
      <c r="I59" s="112"/>
      <c r="J59" s="112"/>
      <c r="K59" s="112"/>
      <c r="L59" s="6"/>
      <c r="M59" s="20" t="s">
        <v>17</v>
      </c>
      <c r="N59" s="27">
        <f t="shared" ref="N59:U68" si="66">N46*$Q2</f>
        <v>11.013883773176143</v>
      </c>
      <c r="O59" s="8">
        <f t="shared" si="66"/>
        <v>10.855255109610264</v>
      </c>
      <c r="P59" s="8">
        <f t="shared" si="66"/>
        <v>10.818603961709826</v>
      </c>
      <c r="Q59" s="28">
        <f t="shared" si="66"/>
        <v>10.855255109610262</v>
      </c>
      <c r="R59" s="35">
        <f t="shared" si="66"/>
        <v>10.77295002520343</v>
      </c>
      <c r="S59" s="5">
        <f t="shared" si="66"/>
        <v>10.817239121662464</v>
      </c>
      <c r="T59" s="5">
        <f t="shared" si="66"/>
        <v>10.842001887369131</v>
      </c>
      <c r="U59" s="36">
        <f t="shared" si="66"/>
        <v>10.533356720788795</v>
      </c>
      <c r="V59" s="3"/>
      <c r="W59" s="19" t="s">
        <v>3</v>
      </c>
      <c r="X59" s="2">
        <f>X46/X$57*100</f>
        <v>37.605183174634377</v>
      </c>
      <c r="Y59" s="2">
        <f t="shared" ref="Y59:AE59" si="67">Y46/Y$57*100</f>
        <v>37.364399518978402</v>
      </c>
      <c r="Z59" s="2">
        <f t="shared" si="67"/>
        <v>37.308209538045681</v>
      </c>
      <c r="AA59" s="2">
        <f t="shared" si="67"/>
        <v>37.364399518978402</v>
      </c>
      <c r="AB59" s="2">
        <f t="shared" si="67"/>
        <v>37.237921350235588</v>
      </c>
      <c r="AC59" s="2">
        <f t="shared" si="67"/>
        <v>37.30611301973736</v>
      </c>
      <c r="AD59" s="2">
        <f t="shared" si="67"/>
        <v>37.344105307566473</v>
      </c>
      <c r="AE59" s="2">
        <f t="shared" si="67"/>
        <v>36.863572727065396</v>
      </c>
    </row>
    <row r="60" spans="1:31" x14ac:dyDescent="0.2">
      <c r="A60" s="107" t="s">
        <v>71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8"/>
      <c r="M60" s="20" t="s">
        <v>18</v>
      </c>
      <c r="N60" s="27">
        <f t="shared" si="66"/>
        <v>0.5054103783084356</v>
      </c>
      <c r="O60" s="8">
        <f t="shared" si="66"/>
        <v>0.49813115015290982</v>
      </c>
      <c r="P60" s="8">
        <f t="shared" si="66"/>
        <v>0.49644928470859551</v>
      </c>
      <c r="Q60" s="28">
        <f t="shared" si="66"/>
        <v>0.49813115015290976</v>
      </c>
      <c r="R60" s="35">
        <f t="shared" si="66"/>
        <v>0.49435429498506472</v>
      </c>
      <c r="S60" s="5">
        <f t="shared" si="66"/>
        <v>0.49638665427423884</v>
      </c>
      <c r="T60" s="5">
        <f t="shared" si="66"/>
        <v>0.49752297993751216</v>
      </c>
      <c r="U60" s="36">
        <f t="shared" si="66"/>
        <v>0.48335972257825521</v>
      </c>
      <c r="V60" s="3"/>
      <c r="W60" s="19" t="s">
        <v>6</v>
      </c>
      <c r="X60" s="2">
        <f t="shared" ref="X60:AE69" si="68">X47/X$57*100</f>
        <v>2.2947248872693558</v>
      </c>
      <c r="Y60" s="2">
        <f t="shared" si="68"/>
        <v>2.2800319061312089</v>
      </c>
      <c r="Z60" s="2">
        <f t="shared" si="68"/>
        <v>2.2766031089076257</v>
      </c>
      <c r="AA60" s="2">
        <f t="shared" si="68"/>
        <v>2.2800319061312089</v>
      </c>
      <c r="AB60" s="2">
        <f t="shared" si="68"/>
        <v>2.2723140178772789</v>
      </c>
      <c r="AC60" s="2">
        <f t="shared" si="68"/>
        <v>2.2764751762044027</v>
      </c>
      <c r="AD60" s="2">
        <f t="shared" si="68"/>
        <v>2.2787935228004272</v>
      </c>
      <c r="AE60" s="2">
        <f t="shared" si="68"/>
        <v>2.2494707013558712</v>
      </c>
    </row>
    <row r="61" spans="1:31" x14ac:dyDescent="0.2">
      <c r="A61" s="107" t="s">
        <v>66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20" t="s">
        <v>19</v>
      </c>
      <c r="N61" s="27">
        <f t="shared" si="66"/>
        <v>4.8782132796335933</v>
      </c>
      <c r="O61" s="8">
        <f t="shared" si="66"/>
        <v>4.8079542802584401</v>
      </c>
      <c r="P61" s="8">
        <f t="shared" si="66"/>
        <v>4.7917209405860914</v>
      </c>
      <c r="Q61" s="28">
        <f t="shared" si="66"/>
        <v>4.8079542802584392</v>
      </c>
      <c r="R61" s="35">
        <f t="shared" si="66"/>
        <v>4.7715001316580503</v>
      </c>
      <c r="S61" s="5">
        <f t="shared" si="66"/>
        <v>4.7911164325868487</v>
      </c>
      <c r="T61" s="5">
        <f t="shared" si="66"/>
        <v>4.8020842305951152</v>
      </c>
      <c r="U61" s="36">
        <f t="shared" si="66"/>
        <v>4.6653806861130285</v>
      </c>
      <c r="V61" s="3"/>
      <c r="W61" s="19" t="s">
        <v>2</v>
      </c>
      <c r="X61" s="2">
        <f t="shared" si="68"/>
        <v>18.843027268150124</v>
      </c>
      <c r="Y61" s="2">
        <f t="shared" si="68"/>
        <v>18.722376533165519</v>
      </c>
      <c r="Z61" s="2">
        <f t="shared" si="68"/>
        <v>18.694221123364819</v>
      </c>
      <c r="AA61" s="2">
        <f t="shared" si="68"/>
        <v>18.722376533165519</v>
      </c>
      <c r="AB61" s="2">
        <f t="shared" si="68"/>
        <v>18.659001450763203</v>
      </c>
      <c r="AC61" s="2">
        <f t="shared" si="68"/>
        <v>18.693170609889901</v>
      </c>
      <c r="AD61" s="2">
        <f t="shared" si="68"/>
        <v>18.712207605726853</v>
      </c>
      <c r="AE61" s="2">
        <f t="shared" si="68"/>
        <v>18.471424613776847</v>
      </c>
    </row>
    <row r="62" spans="1:31" x14ac:dyDescent="0.2">
      <c r="A62" s="107" t="s">
        <v>67</v>
      </c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20" t="s">
        <v>21</v>
      </c>
      <c r="N62" s="27">
        <f t="shared" si="66"/>
        <v>-0.96446298955049059</v>
      </c>
      <c r="O62" s="8">
        <f t="shared" si="66"/>
        <v>0</v>
      </c>
      <c r="P62" s="8">
        <f t="shared" si="66"/>
        <v>0.22283914445154096</v>
      </c>
      <c r="Q62" s="28">
        <f t="shared" si="66"/>
        <v>0</v>
      </c>
      <c r="R62" s="35">
        <f t="shared" si="66"/>
        <v>0.50041528421030135</v>
      </c>
      <c r="S62" s="5">
        <f t="shared" si="66"/>
        <v>0.23113737809196194</v>
      </c>
      <c r="T62" s="5">
        <f t="shared" si="66"/>
        <v>8.0579650969265434E-2</v>
      </c>
      <c r="U62" s="36">
        <f t="shared" si="66"/>
        <v>1.957143655095523</v>
      </c>
      <c r="V62" s="3"/>
      <c r="W62" s="19" t="s">
        <v>20</v>
      </c>
      <c r="X62" s="2">
        <f t="shared" si="68"/>
        <v>-5.8347764978870957</v>
      </c>
      <c r="Y62" s="2">
        <f t="shared" si="68"/>
        <v>0</v>
      </c>
      <c r="Z62" s="2">
        <f t="shared" si="68"/>
        <v>1.3616205770685654</v>
      </c>
      <c r="AA62" s="2">
        <f t="shared" si="68"/>
        <v>0</v>
      </c>
      <c r="AB62" s="2">
        <f t="shared" si="68"/>
        <v>3.0648751654919346</v>
      </c>
      <c r="AC62" s="2">
        <f t="shared" si="68"/>
        <v>1.4124243399711756</v>
      </c>
      <c r="AD62" s="2">
        <f t="shared" si="68"/>
        <v>0.49177834544817606</v>
      </c>
      <c r="AE62" s="2">
        <f t="shared" si="68"/>
        <v>12.136257284594508</v>
      </c>
    </row>
    <row r="63" spans="1:31" x14ac:dyDescent="0.2">
      <c r="A63" s="6"/>
      <c r="B63" s="6"/>
      <c r="C63" s="6"/>
      <c r="D63" s="6"/>
      <c r="E63" s="6"/>
      <c r="F63" s="19"/>
      <c r="G63" s="9"/>
      <c r="H63" s="6"/>
      <c r="I63" s="6"/>
      <c r="J63" s="6"/>
      <c r="K63" s="6"/>
      <c r="L63" s="6"/>
      <c r="M63" s="20" t="s">
        <v>22</v>
      </c>
      <c r="N63" s="27">
        <f t="shared" si="66"/>
        <v>2.0072604456008567</v>
      </c>
      <c r="O63" s="8">
        <f t="shared" si="66"/>
        <v>1.3446358538481185</v>
      </c>
      <c r="P63" s="8">
        <f t="shared" si="66"/>
        <v>1.1915364620429942</v>
      </c>
      <c r="Q63" s="28">
        <f t="shared" si="66"/>
        <v>1.3446358538481182</v>
      </c>
      <c r="R63" s="35">
        <f t="shared" si="66"/>
        <v>1.0008305684206027</v>
      </c>
      <c r="S63" s="5">
        <f t="shared" si="66"/>
        <v>1.1858352441239783</v>
      </c>
      <c r="T63" s="5">
        <f t="shared" si="66"/>
        <v>1.2892744155082467</v>
      </c>
      <c r="U63" s="36">
        <f t="shared" si="66"/>
        <v>0</v>
      </c>
      <c r="V63" s="3"/>
      <c r="W63" s="19" t="s">
        <v>8</v>
      </c>
      <c r="X63" s="2">
        <f t="shared" si="68"/>
        <v>16.390226211525732</v>
      </c>
      <c r="Y63" s="2">
        <f t="shared" si="68"/>
        <v>11.068701147826395</v>
      </c>
      <c r="Z63" s="2">
        <f t="shared" si="68"/>
        <v>9.826854432576372</v>
      </c>
      <c r="AA63" s="2">
        <f t="shared" si="68"/>
        <v>11.068701147826395</v>
      </c>
      <c r="AB63" s="2">
        <f t="shared" si="68"/>
        <v>8.2734252677337921</v>
      </c>
      <c r="AC63" s="2">
        <f t="shared" si="68"/>
        <v>9.7805195819245263</v>
      </c>
      <c r="AD63" s="2">
        <f t="shared" si="68"/>
        <v>10.620181690048581</v>
      </c>
      <c r="AE63" s="2">
        <f t="shared" si="68"/>
        <v>0</v>
      </c>
    </row>
    <row r="64" spans="1:31" x14ac:dyDescent="0.2">
      <c r="A64" s="6"/>
      <c r="B64" s="6"/>
      <c r="C64" s="6"/>
      <c r="D64" s="6"/>
      <c r="E64" s="6"/>
      <c r="F64" s="19"/>
      <c r="G64" s="9"/>
      <c r="H64" s="6"/>
      <c r="I64" s="6"/>
      <c r="J64" s="6"/>
      <c r="K64" s="6"/>
      <c r="L64" s="6"/>
      <c r="M64" s="20" t="s">
        <v>23</v>
      </c>
      <c r="N64" s="27">
        <f t="shared" si="66"/>
        <v>1.1284850299962007E-2</v>
      </c>
      <c r="O64" s="8">
        <f t="shared" si="66"/>
        <v>1.1122319011409308E-2</v>
      </c>
      <c r="P64" s="8">
        <f t="shared" si="66"/>
        <v>1.1084766162124161E-2</v>
      </c>
      <c r="Q64" s="28">
        <f t="shared" si="66"/>
        <v>1.1122319011409306E-2</v>
      </c>
      <c r="R64" s="35">
        <f t="shared" si="66"/>
        <v>1.1037989035209731E-2</v>
      </c>
      <c r="S64" s="5">
        <f t="shared" si="66"/>
        <v>1.1083367743915374E-2</v>
      </c>
      <c r="T64" s="5">
        <f t="shared" si="66"/>
        <v>1.110873972983494E-2</v>
      </c>
      <c r="U64" s="36">
        <f t="shared" si="66"/>
        <v>1.0792501191967974E-2</v>
      </c>
      <c r="V64" s="3"/>
      <c r="W64" s="19" t="s">
        <v>7</v>
      </c>
      <c r="X64" s="2">
        <f t="shared" si="68"/>
        <v>9.0980281874115415E-2</v>
      </c>
      <c r="Y64" s="2">
        <f t="shared" si="68"/>
        <v>9.0397740771721927E-2</v>
      </c>
      <c r="Z64" s="2">
        <f t="shared" si="68"/>
        <v>9.0261797269465344E-2</v>
      </c>
      <c r="AA64" s="2">
        <f t="shared" si="68"/>
        <v>9.0397740771721913E-2</v>
      </c>
      <c r="AB64" s="2">
        <f t="shared" si="68"/>
        <v>9.0091745202182855E-2</v>
      </c>
      <c r="AC64" s="2">
        <f t="shared" si="68"/>
        <v>9.0256725047751646E-2</v>
      </c>
      <c r="AD64" s="2">
        <f t="shared" si="68"/>
        <v>9.0348641873144675E-2</v>
      </c>
      <c r="AE64" s="2">
        <f t="shared" si="68"/>
        <v>8.9186063049351741E-2</v>
      </c>
    </row>
    <row r="65" spans="1:31" x14ac:dyDescent="0.2">
      <c r="A65" s="6"/>
      <c r="B65" s="6"/>
      <c r="C65" s="6"/>
      <c r="D65" s="6"/>
      <c r="E65" s="6"/>
      <c r="F65" s="19"/>
      <c r="G65" s="9"/>
      <c r="H65" s="6"/>
      <c r="I65" s="6"/>
      <c r="J65" s="6"/>
      <c r="K65" s="6"/>
      <c r="L65" s="6"/>
      <c r="M65" s="20" t="s">
        <v>24</v>
      </c>
      <c r="N65" s="27">
        <f t="shared" si="66"/>
        <v>3.6126407683014903</v>
      </c>
      <c r="O65" s="8">
        <f t="shared" si="66"/>
        <v>3.5606093151990925</v>
      </c>
      <c r="P65" s="8">
        <f t="shared" si="66"/>
        <v>3.5485874495396197</v>
      </c>
      <c r="Q65" s="28">
        <f t="shared" si="66"/>
        <v>3.5606093151990921</v>
      </c>
      <c r="R65" s="35">
        <f t="shared" si="66"/>
        <v>3.5336125981926196</v>
      </c>
      <c r="S65" s="5">
        <f t="shared" si="66"/>
        <v>3.5481397712365932</v>
      </c>
      <c r="T65" s="5">
        <f t="shared" si="66"/>
        <v>3.5562621537467187</v>
      </c>
      <c r="U65" s="36">
        <f t="shared" si="66"/>
        <v>3.4550241041458212</v>
      </c>
      <c r="V65" s="3"/>
      <c r="W65" s="19" t="s">
        <v>1</v>
      </c>
      <c r="X65" s="2">
        <f t="shared" si="68"/>
        <v>16.548302380880774</v>
      </c>
      <c r="Y65" s="2">
        <f t="shared" si="68"/>
        <v>16.442344627034309</v>
      </c>
      <c r="Z65" s="2">
        <f t="shared" si="68"/>
        <v>16.417618014457197</v>
      </c>
      <c r="AA65" s="2">
        <f t="shared" si="68"/>
        <v>16.442344627034313</v>
      </c>
      <c r="AB65" s="2">
        <f t="shared" si="68"/>
        <v>16.386687432885928</v>
      </c>
      <c r="AC65" s="2">
        <f t="shared" si="68"/>
        <v>16.416695433685501</v>
      </c>
      <c r="AD65" s="2">
        <f t="shared" si="68"/>
        <v>16.433414082926429</v>
      </c>
      <c r="AE65" s="2">
        <f t="shared" si="68"/>
        <v>16.221953912420979</v>
      </c>
    </row>
    <row r="66" spans="1:31" x14ac:dyDescent="0.2">
      <c r="A66" s="6"/>
      <c r="B66" s="6"/>
      <c r="C66" s="6"/>
      <c r="D66" s="6"/>
      <c r="E66" s="6"/>
      <c r="F66" s="19"/>
      <c r="G66" s="9"/>
      <c r="H66" s="6"/>
      <c r="I66" s="6"/>
      <c r="J66" s="6"/>
      <c r="K66" s="6"/>
      <c r="L66" s="6"/>
      <c r="M66" s="20" t="s">
        <v>25</v>
      </c>
      <c r="N66" s="27">
        <f t="shared" si="66"/>
        <v>3.172160819871369E-3</v>
      </c>
      <c r="O66" s="8">
        <f t="shared" si="66"/>
        <v>3.1264734273189114E-3</v>
      </c>
      <c r="P66" s="8">
        <f t="shared" si="66"/>
        <v>3.1159173566568769E-3</v>
      </c>
      <c r="Q66" s="28">
        <f t="shared" si="66"/>
        <v>3.126473427318911E-3</v>
      </c>
      <c r="R66" s="35">
        <f t="shared" si="66"/>
        <v>3.1027683502172789E-3</v>
      </c>
      <c r="S66" s="5">
        <f t="shared" si="66"/>
        <v>3.1155242626118703E-3</v>
      </c>
      <c r="T66" s="5">
        <f t="shared" si="66"/>
        <v>3.1226563040228804E-3</v>
      </c>
      <c r="U66" s="36">
        <f t="shared" si="66"/>
        <v>3.0337619480597911E-3</v>
      </c>
      <c r="V66" s="3"/>
      <c r="W66" s="19" t="s">
        <v>5</v>
      </c>
      <c r="X66" s="2">
        <f t="shared" si="68"/>
        <v>2.0217840416470095E-2</v>
      </c>
      <c r="Y66" s="2">
        <f t="shared" si="68"/>
        <v>2.008838683816043E-2</v>
      </c>
      <c r="Z66" s="2">
        <f t="shared" si="68"/>
        <v>2.00581771709923E-2</v>
      </c>
      <c r="AA66" s="2">
        <f t="shared" si="68"/>
        <v>2.0088386838160433E-2</v>
      </c>
      <c r="AB66" s="2">
        <f t="shared" si="68"/>
        <v>2.0020387822707306E-2</v>
      </c>
      <c r="AC66" s="2">
        <f t="shared" si="68"/>
        <v>2.005705001061148E-2</v>
      </c>
      <c r="AD66" s="2">
        <f t="shared" si="68"/>
        <v>2.0077475971809932E-2</v>
      </c>
      <c r="AE66" s="2">
        <f t="shared" si="68"/>
        <v>1.9819125122078167E-2</v>
      </c>
    </row>
    <row r="67" spans="1:31" x14ac:dyDescent="0.2">
      <c r="A67" s="6"/>
      <c r="B67" s="6"/>
      <c r="C67" s="6"/>
      <c r="D67" s="6"/>
      <c r="E67" s="6"/>
      <c r="F67" s="19"/>
      <c r="G67" s="9"/>
      <c r="H67" s="6"/>
      <c r="I67" s="6"/>
      <c r="J67" s="6"/>
      <c r="K67" s="6"/>
      <c r="L67" s="6"/>
      <c r="M67" s="20" t="s">
        <v>27</v>
      </c>
      <c r="N67" s="27">
        <f t="shared" si="66"/>
        <v>1.0045742335091411E-2</v>
      </c>
      <c r="O67" s="8">
        <f t="shared" si="66"/>
        <v>9.9010574342915918E-3</v>
      </c>
      <c r="P67" s="8">
        <f t="shared" si="66"/>
        <v>9.8676279923548757E-3</v>
      </c>
      <c r="Q67" s="28">
        <f t="shared" si="66"/>
        <v>9.9010574342915901E-3</v>
      </c>
      <c r="R67" s="35">
        <f t="shared" si="66"/>
        <v>9.8259871241406279E-3</v>
      </c>
      <c r="S67" s="5">
        <f t="shared" si="66"/>
        <v>9.8663831243567413E-3</v>
      </c>
      <c r="T67" s="5">
        <f t="shared" si="66"/>
        <v>9.8889691956206543E-3</v>
      </c>
      <c r="U67" s="36">
        <f t="shared" si="66"/>
        <v>9.6074545291967416E-3</v>
      </c>
      <c r="V67" s="3"/>
      <c r="W67" s="19" t="s">
        <v>26</v>
      </c>
      <c r="X67" s="2">
        <f t="shared" si="68"/>
        <v>7.0762441457645334E-2</v>
      </c>
      <c r="Y67" s="2">
        <f t="shared" si="68"/>
        <v>7.0309353933561511E-2</v>
      </c>
      <c r="Z67" s="2">
        <f t="shared" si="68"/>
        <v>7.0203620098473057E-2</v>
      </c>
      <c r="AA67" s="2">
        <f t="shared" si="68"/>
        <v>7.0309353933561511E-2</v>
      </c>
      <c r="AB67" s="2">
        <f t="shared" si="68"/>
        <v>7.0071357379475563E-2</v>
      </c>
      <c r="AC67" s="2">
        <f t="shared" si="68"/>
        <v>7.0199675037140197E-2</v>
      </c>
      <c r="AD67" s="2">
        <f t="shared" si="68"/>
        <v>7.0271165901334767E-2</v>
      </c>
      <c r="AE67" s="2">
        <f t="shared" si="68"/>
        <v>6.9366937927273595E-2</v>
      </c>
    </row>
    <row r="68" spans="1:31" x14ac:dyDescent="0.2">
      <c r="A68" s="6"/>
      <c r="B68" s="6"/>
      <c r="C68" s="6"/>
      <c r="D68" s="6"/>
      <c r="E68" s="6"/>
      <c r="F68" s="19"/>
      <c r="G68" s="9"/>
      <c r="H68" s="6"/>
      <c r="I68" s="6"/>
      <c r="J68" s="6"/>
      <c r="K68" s="6"/>
      <c r="L68" s="6"/>
      <c r="M68" s="10" t="s">
        <v>28</v>
      </c>
      <c r="N68" s="31">
        <f t="shared" si="66"/>
        <v>0.92255159107505014</v>
      </c>
      <c r="O68" s="26">
        <f t="shared" si="66"/>
        <v>0.90926444105815751</v>
      </c>
      <c r="P68" s="26">
        <f t="shared" si="66"/>
        <v>0.90619444545019356</v>
      </c>
      <c r="Q68" s="32">
        <f t="shared" si="66"/>
        <v>0.9092644410581574</v>
      </c>
      <c r="R68" s="37">
        <f t="shared" si="66"/>
        <v>0.90237035282036293</v>
      </c>
      <c r="S68" s="22">
        <f t="shared" si="66"/>
        <v>0.90608012289302964</v>
      </c>
      <c r="T68" s="22">
        <f t="shared" si="66"/>
        <v>0.90815431664453272</v>
      </c>
      <c r="U68" s="38">
        <f t="shared" si="66"/>
        <v>0.88230139360935533</v>
      </c>
      <c r="V68" s="3"/>
      <c r="W68" s="15" t="s">
        <v>4</v>
      </c>
      <c r="X68" s="94">
        <f t="shared" si="68"/>
        <v>9.8764150434456397</v>
      </c>
      <c r="Y68" s="94">
        <f t="shared" si="68"/>
        <v>9.8131769704413685</v>
      </c>
      <c r="Z68" s="94">
        <f t="shared" si="68"/>
        <v>9.7984195480297362</v>
      </c>
      <c r="AA68" s="94">
        <f t="shared" si="68"/>
        <v>9.8131769704413703</v>
      </c>
      <c r="AB68" s="94">
        <f t="shared" si="68"/>
        <v>9.7799594513925161</v>
      </c>
      <c r="AC68" s="94">
        <f t="shared" si="68"/>
        <v>9.7978689301837072</v>
      </c>
      <c r="AD68" s="94">
        <f t="shared" si="68"/>
        <v>9.8078470122291499</v>
      </c>
      <c r="AE68" s="94">
        <f t="shared" si="68"/>
        <v>9.6816426221351843</v>
      </c>
    </row>
    <row r="69" spans="1:31" x14ac:dyDescent="0.2">
      <c r="A69" s="6"/>
      <c r="B69" s="6"/>
      <c r="C69" s="6"/>
      <c r="D69" s="6"/>
      <c r="E69" s="6"/>
      <c r="F69" s="19"/>
      <c r="G69" s="9"/>
      <c r="H69" s="6"/>
      <c r="I69" s="6"/>
      <c r="J69" s="6"/>
      <c r="K69" s="6"/>
      <c r="L69" s="6"/>
      <c r="M69" s="101" t="s">
        <v>45</v>
      </c>
      <c r="N69" s="31">
        <f>SUM(N59:N68)</f>
        <v>22</v>
      </c>
      <c r="O69" s="26">
        <f t="shared" ref="O69:U69" si="69">SUM(O59:O68)</f>
        <v>22</v>
      </c>
      <c r="P69" s="26">
        <f t="shared" si="69"/>
        <v>22</v>
      </c>
      <c r="Q69" s="32">
        <f t="shared" si="69"/>
        <v>22</v>
      </c>
      <c r="R69" s="37">
        <f t="shared" si="69"/>
        <v>22</v>
      </c>
      <c r="S69" s="22">
        <f t="shared" si="69"/>
        <v>22</v>
      </c>
      <c r="T69" s="22">
        <f t="shared" si="69"/>
        <v>22</v>
      </c>
      <c r="U69" s="38">
        <f t="shared" si="69"/>
        <v>22.000000000000004</v>
      </c>
      <c r="V69" s="3"/>
      <c r="W69" s="99" t="s">
        <v>76</v>
      </c>
      <c r="X69" s="53">
        <f t="shared" si="68"/>
        <v>4.0949369682328385</v>
      </c>
      <c r="Y69" s="53">
        <f t="shared" si="68"/>
        <v>4.1281738148793483</v>
      </c>
      <c r="Z69" s="53">
        <f t="shared" si="68"/>
        <v>4.1359300630110711</v>
      </c>
      <c r="AA69" s="53">
        <f t="shared" si="68"/>
        <v>4.1281738148793483</v>
      </c>
      <c r="AB69" s="53">
        <f t="shared" si="68"/>
        <v>4.1456323732153928</v>
      </c>
      <c r="AC69" s="53">
        <f t="shared" si="68"/>
        <v>4.136219458307921</v>
      </c>
      <c r="AD69" s="53">
        <f t="shared" si="68"/>
        <v>4.1309751495076164</v>
      </c>
      <c r="AE69" s="53">
        <f t="shared" si="68"/>
        <v>4.1973060125525059</v>
      </c>
    </row>
    <row r="70" spans="1:31" x14ac:dyDescent="0.2">
      <c r="A70" s="6"/>
      <c r="B70" s="6"/>
      <c r="C70" s="6"/>
      <c r="D70" s="6"/>
      <c r="E70" s="6"/>
      <c r="F70" s="19"/>
      <c r="G70" s="9"/>
      <c r="H70" s="6"/>
      <c r="I70" s="6"/>
      <c r="J70" s="6"/>
      <c r="K70" s="6"/>
      <c r="L70" s="6"/>
      <c r="M70" s="3"/>
      <c r="N70" s="3"/>
      <c r="O70" s="3"/>
      <c r="P70" s="3"/>
      <c r="Q70" s="3"/>
      <c r="R70" s="3"/>
      <c r="S70" s="3"/>
      <c r="T70" s="3"/>
      <c r="U70" s="3"/>
      <c r="V70" s="3"/>
      <c r="W70" s="8" t="s">
        <v>30</v>
      </c>
      <c r="X70" s="2">
        <f>SUM(X59:X69)</f>
        <v>99.999999999999972</v>
      </c>
      <c r="Y70" s="2">
        <f t="shared" ref="Y70:AE70" si="70">SUM(Y59:Y69)</f>
        <v>100</v>
      </c>
      <c r="Z70" s="2">
        <f t="shared" si="70"/>
        <v>100</v>
      </c>
      <c r="AA70" s="2">
        <f t="shared" si="70"/>
        <v>100.00000000000001</v>
      </c>
      <c r="AB70" s="2">
        <f t="shared" si="70"/>
        <v>100.00000000000001</v>
      </c>
      <c r="AC70" s="2">
        <f t="shared" si="70"/>
        <v>100</v>
      </c>
      <c r="AD70" s="2">
        <f t="shared" si="70"/>
        <v>99.999999999999986</v>
      </c>
      <c r="AE70" s="2">
        <f t="shared" si="70"/>
        <v>100</v>
      </c>
    </row>
    <row r="71" spans="1:31" x14ac:dyDescent="0.2">
      <c r="A71" s="6"/>
      <c r="B71" s="6"/>
      <c r="C71" s="6"/>
      <c r="D71" s="6"/>
      <c r="E71" s="6"/>
      <c r="F71" s="19"/>
      <c r="G71" s="9"/>
      <c r="H71" s="6"/>
      <c r="I71" s="6"/>
      <c r="J71" s="6"/>
      <c r="K71" s="6"/>
      <c r="L71" s="6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31" x14ac:dyDescent="0.2">
      <c r="A72" s="6"/>
      <c r="B72" s="6"/>
      <c r="C72" s="6"/>
      <c r="D72" s="6"/>
      <c r="E72" s="6"/>
      <c r="F72" s="6"/>
      <c r="G72" s="9"/>
      <c r="H72" s="9"/>
      <c r="I72" s="6"/>
      <c r="J72" s="6"/>
      <c r="K72" s="6"/>
      <c r="L72" s="6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3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3"/>
      <c r="N73" s="3"/>
      <c r="O73" s="3"/>
      <c r="P73" s="3"/>
      <c r="Q73" s="3"/>
      <c r="R73" s="3"/>
      <c r="S73" s="3"/>
      <c r="T73" s="3"/>
      <c r="U73" s="3"/>
    </row>
    <row r="74" spans="1:31" x14ac:dyDescent="0.2">
      <c r="L74" s="6"/>
    </row>
    <row r="75" spans="1:31" x14ac:dyDescent="0.2">
      <c r="L75" s="6"/>
    </row>
    <row r="76" spans="1:31" x14ac:dyDescent="0.2">
      <c r="L76" s="6"/>
    </row>
    <row r="77" spans="1:31" x14ac:dyDescent="0.2">
      <c r="L77" s="6"/>
    </row>
    <row r="78" spans="1:31" x14ac:dyDescent="0.2">
      <c r="L78" s="6"/>
    </row>
    <row r="79" spans="1:31" x14ac:dyDescent="0.2">
      <c r="L79" s="6"/>
    </row>
    <row r="80" spans="1:31" x14ac:dyDescent="0.2">
      <c r="L80" s="6"/>
    </row>
  </sheetData>
  <mergeCells count="9">
    <mergeCell ref="D2:K2"/>
    <mergeCell ref="N16:Q16"/>
    <mergeCell ref="R16:U16"/>
    <mergeCell ref="A1:J1"/>
    <mergeCell ref="A57:L57"/>
    <mergeCell ref="A58:L58"/>
    <mergeCell ref="A60:L60"/>
    <mergeCell ref="A61:L61"/>
    <mergeCell ref="A62:L62"/>
  </mergeCells>
  <conditionalFormatting sqref="D52:K55">
    <cfRule type="cellIs" dxfId="0" priority="1" operator="equal">
      <formula>FALSE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 Hollocher</dc:creator>
  <cp:lastModifiedBy>Kurt Hollocher</cp:lastModifiedBy>
  <dcterms:created xsi:type="dcterms:W3CDTF">2018-01-09T19:34:44Z</dcterms:created>
  <dcterms:modified xsi:type="dcterms:W3CDTF">2018-04-07T22:15:02Z</dcterms:modified>
</cp:coreProperties>
</file>