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hollochk\Desktop\Documents\New webs\c_petrology\other_files\"/>
    </mc:Choice>
  </mc:AlternateContent>
  <bookViews>
    <workbookView xWindow="0" yWindow="0" windowWidth="8685" windowHeight="12480"/>
  </bookViews>
  <sheets>
    <sheet name="CIPW norm calculation" sheetId="1" r:id="rId1"/>
  </sheets>
  <definedNames>
    <definedName name="_xlnm.Print_Area" localSheetId="0">'CIPW norm calculation'!$A$1:$L$53</definedName>
  </definedNames>
  <calcPr calcId="162913"/>
</workbook>
</file>

<file path=xl/calcChain.xml><?xml version="1.0" encoding="utf-8"?>
<calcChain xmlns="http://schemas.openxmlformats.org/spreadsheetml/2006/main">
  <c r="AJ5" i="1" l="1"/>
  <c r="R29" i="1"/>
  <c r="O49" i="1"/>
  <c r="O47" i="1"/>
  <c r="O48" i="1"/>
  <c r="F9" i="1"/>
  <c r="F10" i="1"/>
  <c r="O50" i="1"/>
  <c r="O52" i="1"/>
  <c r="O53" i="1"/>
  <c r="O54" i="1"/>
  <c r="O55" i="1"/>
  <c r="O56" i="1"/>
  <c r="O57" i="1"/>
  <c r="O58" i="1"/>
  <c r="O59" i="1"/>
  <c r="O60" i="1"/>
  <c r="O61" i="1"/>
  <c r="O62" i="1"/>
  <c r="O63" i="1"/>
  <c r="O64" i="1"/>
  <c r="O65" i="1"/>
  <c r="O66" i="1"/>
  <c r="O67" i="1"/>
  <c r="H1" i="1"/>
  <c r="AU5" i="1"/>
  <c r="B27" i="1"/>
  <c r="AU6" i="1"/>
  <c r="AU7" i="1"/>
  <c r="AU8" i="1"/>
  <c r="AU9" i="1"/>
  <c r="AU10" i="1"/>
  <c r="AU12" i="1"/>
  <c r="AU14" i="1"/>
  <c r="AU15" i="1"/>
  <c r="AU16" i="1"/>
  <c r="AU18" i="1"/>
  <c r="AU19" i="1"/>
  <c r="AU20" i="1"/>
  <c r="AU21" i="1"/>
  <c r="AU22" i="1"/>
  <c r="AU24" i="1"/>
  <c r="AU25" i="1"/>
  <c r="AU26" i="1"/>
  <c r="AU27" i="1"/>
  <c r="AU28" i="1"/>
  <c r="AU29" i="1"/>
  <c r="AU30" i="1"/>
  <c r="AU31" i="1"/>
  <c r="AU32" i="1"/>
  <c r="AU33" i="1"/>
  <c r="AU34" i="1"/>
  <c r="AU35" i="1"/>
  <c r="AU36" i="1"/>
  <c r="AU37" i="1"/>
  <c r="F11" i="1"/>
  <c r="O51" i="1"/>
  <c r="H18" i="1"/>
  <c r="P17" i="1"/>
  <c r="Q17" i="1"/>
  <c r="R17" i="1"/>
  <c r="S17" i="1"/>
  <c r="T17" i="1"/>
  <c r="O68" i="1"/>
  <c r="F12" i="1"/>
  <c r="H22" i="1"/>
  <c r="P21" i="1"/>
  <c r="H9" i="1"/>
  <c r="H16" i="1"/>
  <c r="H15" i="1"/>
  <c r="H11" i="1"/>
  <c r="H8" i="1"/>
  <c r="H17" i="1"/>
  <c r="P16" i="1"/>
  <c r="Q16" i="1"/>
  <c r="R16" i="1"/>
  <c r="S16" i="1"/>
  <c r="T16" i="1"/>
  <c r="U16" i="1"/>
  <c r="V16" i="1"/>
  <c r="W16" i="1"/>
  <c r="X16" i="1"/>
  <c r="H13" i="1"/>
  <c r="H7" i="1"/>
  <c r="H24" i="1"/>
  <c r="P23" i="1"/>
  <c r="H12" i="1"/>
  <c r="H19" i="1"/>
  <c r="P18" i="1"/>
  <c r="Q18" i="1"/>
  <c r="R18" i="1"/>
  <c r="S18" i="1"/>
  <c r="T18" i="1"/>
  <c r="U18" i="1"/>
  <c r="V18" i="1"/>
  <c r="AS28" i="1"/>
  <c r="AV28" i="1"/>
  <c r="AX28" i="1"/>
  <c r="H6" i="1"/>
  <c r="H21" i="1"/>
  <c r="P20" i="1"/>
  <c r="Q20" i="1"/>
  <c r="R20" i="1"/>
  <c r="S20" i="1"/>
  <c r="AS24" i="1"/>
  <c r="AV24" i="1"/>
  <c r="AX24" i="1"/>
  <c r="H25" i="1"/>
  <c r="P24" i="1"/>
  <c r="Q24" i="1"/>
  <c r="R24" i="1"/>
  <c r="S24" i="1"/>
  <c r="T24" i="1"/>
  <c r="U24" i="1"/>
  <c r="V24" i="1"/>
  <c r="H20" i="1"/>
  <c r="P19" i="1"/>
  <c r="Q19" i="1"/>
  <c r="H23" i="1"/>
  <c r="P22" i="1"/>
  <c r="H26" i="1"/>
  <c r="P25" i="1"/>
  <c r="Q25" i="1"/>
  <c r="R25" i="1"/>
  <c r="S25" i="1"/>
  <c r="T25" i="1"/>
  <c r="U25" i="1"/>
  <c r="V25" i="1"/>
  <c r="W25" i="1"/>
  <c r="X25" i="1"/>
  <c r="Y25" i="1"/>
  <c r="Z25" i="1"/>
  <c r="AJ6" i="1"/>
  <c r="AS6" i="1"/>
  <c r="AV6" i="1"/>
  <c r="AX6" i="1"/>
  <c r="H14" i="1"/>
  <c r="H10" i="1"/>
  <c r="P5" i="1"/>
  <c r="Q5" i="1"/>
  <c r="R5" i="1"/>
  <c r="S5" i="1"/>
  <c r="T5" i="1"/>
  <c r="U5" i="1"/>
  <c r="V5" i="1"/>
  <c r="W5" i="1"/>
  <c r="X5" i="1"/>
  <c r="Y5" i="1"/>
  <c r="Z5" i="1"/>
  <c r="AA5" i="1"/>
  <c r="AB5" i="1"/>
  <c r="AC5" i="1"/>
  <c r="X34" i="1"/>
  <c r="X50" i="1"/>
  <c r="O34" i="1"/>
  <c r="H27" i="1"/>
  <c r="K53" i="1"/>
  <c r="P10" i="1"/>
  <c r="O39" i="1"/>
  <c r="X55" i="1"/>
  <c r="X39" i="1"/>
  <c r="X54" i="1"/>
  <c r="X38" i="1"/>
  <c r="O38" i="1"/>
  <c r="P9" i="1"/>
  <c r="R19" i="1"/>
  <c r="S19" i="1"/>
  <c r="T19" i="1"/>
  <c r="AS25" i="1"/>
  <c r="AV25" i="1"/>
  <c r="AX25" i="1"/>
  <c r="X41" i="1"/>
  <c r="X57" i="1"/>
  <c r="O41" i="1"/>
  <c r="P12" i="1"/>
  <c r="P14" i="1"/>
  <c r="Q14" i="1"/>
  <c r="R14" i="1"/>
  <c r="S14" i="1"/>
  <c r="T14" i="1"/>
  <c r="U14" i="1"/>
  <c r="V14" i="1"/>
  <c r="W14" i="1"/>
  <c r="X14" i="1"/>
  <c r="Y14" i="1"/>
  <c r="Z14" i="1"/>
  <c r="X43" i="1"/>
  <c r="X59" i="1"/>
  <c r="O43" i="1"/>
  <c r="P6" i="1"/>
  <c r="Q6" i="1"/>
  <c r="R6" i="1"/>
  <c r="S6" i="1"/>
  <c r="T6" i="1"/>
  <c r="U6" i="1"/>
  <c r="V6" i="1"/>
  <c r="W6" i="1"/>
  <c r="O35" i="1"/>
  <c r="X35" i="1"/>
  <c r="X51" i="1"/>
  <c r="O42" i="1"/>
  <c r="P13" i="1"/>
  <c r="Q13" i="1"/>
  <c r="R13" i="1"/>
  <c r="S13" i="1"/>
  <c r="T13" i="1"/>
  <c r="X42" i="1"/>
  <c r="X58" i="1"/>
  <c r="X56" i="1"/>
  <c r="O40" i="1"/>
  <c r="X40" i="1"/>
  <c r="P11" i="1"/>
  <c r="P15" i="1"/>
  <c r="Q15" i="1"/>
  <c r="R15" i="1"/>
  <c r="AS23" i="1"/>
  <c r="X60" i="1"/>
  <c r="Q9" i="1"/>
  <c r="R9" i="1"/>
  <c r="S9" i="1"/>
  <c r="T9" i="1"/>
  <c r="U9" i="1"/>
  <c r="V9" i="1"/>
  <c r="O36" i="1"/>
  <c r="X52" i="1"/>
  <c r="X36" i="1"/>
  <c r="P7" i="1"/>
  <c r="X53" i="1"/>
  <c r="O37" i="1"/>
  <c r="P8" i="1"/>
  <c r="X37" i="1"/>
  <c r="L53" i="1"/>
  <c r="U33" i="1"/>
  <c r="AU23" i="1"/>
  <c r="AV23" i="1"/>
  <c r="Q7" i="1"/>
  <c r="R7" i="1"/>
  <c r="S7" i="1"/>
  <c r="T7" i="1"/>
  <c r="U7" i="1"/>
  <c r="V7" i="1"/>
  <c r="W7" i="1"/>
  <c r="X7" i="1"/>
  <c r="Y7" i="1"/>
  <c r="Z7" i="1"/>
  <c r="K48" i="1"/>
  <c r="L48" i="1"/>
  <c r="K47" i="1"/>
  <c r="L47" i="1"/>
  <c r="Q12" i="1"/>
  <c r="R12" i="1"/>
  <c r="S12" i="1"/>
  <c r="T12" i="1"/>
  <c r="K44" i="1"/>
  <c r="L44" i="1"/>
  <c r="Q8" i="1"/>
  <c r="R8" i="1"/>
  <c r="S8" i="1"/>
  <c r="T8" i="1"/>
  <c r="U8" i="1"/>
  <c r="V8" i="1"/>
  <c r="W8" i="1"/>
  <c r="X8" i="1"/>
  <c r="Y8" i="1"/>
  <c r="Z8" i="1"/>
  <c r="AA8" i="1"/>
  <c r="AB8" i="1"/>
  <c r="AC8" i="1"/>
  <c r="AD8" i="1"/>
  <c r="K40" i="1"/>
  <c r="L40" i="1"/>
  <c r="U26" i="1"/>
  <c r="Y43" i="1"/>
  <c r="AA43" i="1"/>
  <c r="X45" i="1"/>
  <c r="Y44" i="1"/>
  <c r="AA44" i="1"/>
  <c r="Y34" i="1"/>
  <c r="X61" i="1"/>
  <c r="X62" i="1"/>
  <c r="Y36" i="1"/>
  <c r="AA36" i="1"/>
  <c r="Y35" i="1"/>
  <c r="AA35" i="1"/>
  <c r="P36" i="1"/>
  <c r="Q36" i="1"/>
  <c r="S36" i="1"/>
  <c r="U36" i="1"/>
  <c r="Q11" i="1"/>
  <c r="R11" i="1"/>
  <c r="S11" i="1"/>
  <c r="T11" i="1"/>
  <c r="U11" i="1"/>
  <c r="V11" i="1"/>
  <c r="K41" i="1"/>
  <c r="L41" i="1"/>
  <c r="K42" i="1"/>
  <c r="L42" i="1"/>
  <c r="W26" i="1"/>
  <c r="Y41" i="1"/>
  <c r="AA41" i="1"/>
  <c r="O44" i="1"/>
  <c r="P37" i="1"/>
  <c r="Q37" i="1"/>
  <c r="S37" i="1"/>
  <c r="U37" i="1"/>
  <c r="AE5" i="1"/>
  <c r="AF5" i="1"/>
  <c r="AG5" i="1"/>
  <c r="AH5" i="1"/>
  <c r="AD5" i="1"/>
  <c r="Y59" i="1"/>
  <c r="Y54" i="1"/>
  <c r="Y60" i="1"/>
  <c r="Y57" i="1"/>
  <c r="Y55" i="1"/>
  <c r="Y51" i="1"/>
  <c r="Y52" i="1"/>
  <c r="Y50" i="1"/>
  <c r="Y53" i="1"/>
  <c r="Y58" i="1"/>
  <c r="Y56" i="1"/>
  <c r="W24" i="1"/>
  <c r="W23" i="1"/>
  <c r="AS29" i="1"/>
  <c r="AV29" i="1"/>
  <c r="AX29" i="1"/>
  <c r="P38" i="1"/>
  <c r="Q38" i="1"/>
  <c r="S38" i="1"/>
  <c r="U38" i="1"/>
  <c r="P35" i="1"/>
  <c r="Q35" i="1"/>
  <c r="S35" i="1"/>
  <c r="U35" i="1"/>
  <c r="AA26" i="1"/>
  <c r="P41" i="1"/>
  <c r="Q41" i="1"/>
  <c r="S41" i="1"/>
  <c r="U41" i="1"/>
  <c r="P34" i="1"/>
  <c r="Y39" i="1"/>
  <c r="AA39" i="1"/>
  <c r="Y42" i="1"/>
  <c r="AA42" i="1"/>
  <c r="P39" i="1"/>
  <c r="Q39" i="1"/>
  <c r="S39" i="1"/>
  <c r="Y40" i="1"/>
  <c r="AA40" i="1"/>
  <c r="Y37" i="1"/>
  <c r="AA37" i="1"/>
  <c r="Y38" i="1"/>
  <c r="AA38" i="1"/>
  <c r="AA34" i="1"/>
  <c r="Y45" i="1"/>
  <c r="P42" i="1"/>
  <c r="Q42" i="1"/>
  <c r="S42" i="1"/>
  <c r="U42" i="1"/>
  <c r="W11" i="1"/>
  <c r="X11" i="1"/>
  <c r="Y11" i="1"/>
  <c r="Z11" i="1"/>
  <c r="AA11" i="1"/>
  <c r="AB11" i="1"/>
  <c r="AC11" i="1"/>
  <c r="AD11" i="1"/>
  <c r="AE11" i="1"/>
  <c r="AF11" i="1"/>
  <c r="P40" i="1"/>
  <c r="Q40" i="1"/>
  <c r="S40" i="1"/>
  <c r="U40" i="1"/>
  <c r="U17" i="1"/>
  <c r="AS26" i="1"/>
  <c r="AV26" i="1"/>
  <c r="AX26" i="1"/>
  <c r="U21" i="1"/>
  <c r="P43" i="1"/>
  <c r="Q43" i="1"/>
  <c r="S43" i="1"/>
  <c r="U43" i="1"/>
  <c r="AA14" i="1"/>
  <c r="AA15" i="1"/>
  <c r="AJ7" i="1"/>
  <c r="AS7" i="1"/>
  <c r="AV7" i="1"/>
  <c r="AX7" i="1"/>
  <c r="AS30" i="1"/>
  <c r="AV30" i="1"/>
  <c r="AX30" i="1"/>
  <c r="W9" i="1"/>
  <c r="Y61" i="1"/>
  <c r="Y62" i="1"/>
  <c r="Z60" i="1"/>
  <c r="AA45" i="1"/>
  <c r="U12" i="1"/>
  <c r="V12" i="1"/>
  <c r="W12" i="1"/>
  <c r="X12" i="1"/>
  <c r="Z52" i="1"/>
  <c r="Z58" i="1"/>
  <c r="Z54" i="1"/>
  <c r="P44" i="1"/>
  <c r="Q34" i="1"/>
  <c r="S34" i="1"/>
  <c r="U34" i="1"/>
  <c r="U44" i="1"/>
  <c r="K50" i="1"/>
  <c r="L50" i="1"/>
  <c r="AS27" i="1"/>
  <c r="AV27" i="1"/>
  <c r="AX27" i="1"/>
  <c r="U13" i="1"/>
  <c r="V13" i="1"/>
  <c r="W13" i="1"/>
  <c r="X13" i="1"/>
  <c r="Z55" i="1"/>
  <c r="Z57" i="1"/>
  <c r="Z59" i="1"/>
  <c r="Z51" i="1"/>
  <c r="Z56" i="1"/>
  <c r="Z50" i="1"/>
  <c r="Y26" i="1"/>
  <c r="AB14" i="1"/>
  <c r="AC14" i="1"/>
  <c r="AD14" i="1"/>
  <c r="AE14" i="1"/>
  <c r="AF14" i="1"/>
  <c r="AG14" i="1"/>
  <c r="AH14" i="1"/>
  <c r="AJ15" i="1"/>
  <c r="AA7" i="1"/>
  <c r="Z53" i="1"/>
  <c r="AB43" i="1"/>
  <c r="AB34" i="1"/>
  <c r="AB35" i="1"/>
  <c r="AB42" i="1"/>
  <c r="AD42" i="1"/>
  <c r="AF37" i="1"/>
  <c r="AB40" i="1"/>
  <c r="AB37" i="1"/>
  <c r="AD37" i="1"/>
  <c r="AF35" i="1"/>
  <c r="AB41" i="1"/>
  <c r="AB44" i="1"/>
  <c r="AB39" i="1"/>
  <c r="AB36" i="1"/>
  <c r="AF34" i="1"/>
  <c r="X26" i="1"/>
  <c r="AB38" i="1"/>
  <c r="AF36" i="1"/>
  <c r="Z61" i="1"/>
  <c r="Z62" i="1"/>
  <c r="AA50" i="1"/>
  <c r="X6" i="1"/>
  <c r="X10" i="1"/>
  <c r="Y10" i="1"/>
  <c r="Z10" i="1"/>
  <c r="AA10" i="1"/>
  <c r="AB10" i="1"/>
  <c r="AC10" i="1"/>
  <c r="AD26" i="1"/>
  <c r="AD34" i="1"/>
  <c r="AF39" i="1"/>
  <c r="AF40" i="1"/>
  <c r="AF45" i="1"/>
  <c r="K51" i="1"/>
  <c r="L51" i="1"/>
  <c r="AB45" i="1"/>
  <c r="AA53" i="1"/>
  <c r="Y16" i="1"/>
  <c r="Y17" i="1"/>
  <c r="AA61" i="1"/>
  <c r="AS31" i="1"/>
  <c r="AV31" i="1"/>
  <c r="AX31" i="1"/>
  <c r="X9" i="1"/>
  <c r="Y9" i="1"/>
  <c r="Z9" i="1"/>
  <c r="AA9" i="1"/>
  <c r="AB9" i="1"/>
  <c r="AC9" i="1"/>
  <c r="AD9" i="1"/>
  <c r="AE9" i="1"/>
  <c r="AA59" i="1"/>
  <c r="AA51" i="1"/>
  <c r="AA57" i="1"/>
  <c r="AA54" i="1"/>
  <c r="AA58" i="1"/>
  <c r="AA52" i="1"/>
  <c r="AA55" i="1"/>
  <c r="AA60" i="1"/>
  <c r="Y13" i="1"/>
  <c r="Z13" i="1"/>
  <c r="AA13" i="1"/>
  <c r="AS33" i="1"/>
  <c r="AV33" i="1"/>
  <c r="AX33" i="1"/>
  <c r="AA56" i="1"/>
  <c r="AS32" i="1"/>
  <c r="AV32" i="1"/>
  <c r="AX32" i="1"/>
  <c r="Y12" i="1"/>
  <c r="Z12" i="1"/>
  <c r="AA12" i="1"/>
  <c r="AB12" i="1"/>
  <c r="AD18" i="1"/>
  <c r="AS35" i="1"/>
  <c r="AV35" i="1"/>
  <c r="AX35" i="1"/>
  <c r="AD10" i="1"/>
  <c r="AB51" i="1"/>
  <c r="AD51" i="1"/>
  <c r="AE51" i="1"/>
  <c r="AJ12" i="1"/>
  <c r="AM26" i="1"/>
  <c r="AE10" i="1"/>
  <c r="AF10" i="1"/>
  <c r="AG10" i="1"/>
  <c r="AH10" i="1"/>
  <c r="AB59" i="1"/>
  <c r="AD59" i="1"/>
  <c r="AE59" i="1"/>
  <c r="AA62" i="1"/>
  <c r="AB57" i="1"/>
  <c r="AD57" i="1"/>
  <c r="AE57" i="1"/>
  <c r="AB56" i="1"/>
  <c r="AD56" i="1"/>
  <c r="AE56" i="1"/>
  <c r="AB26" i="1"/>
  <c r="AB7" i="1"/>
  <c r="AC26" i="1"/>
  <c r="AB60" i="1"/>
  <c r="AD60" i="1"/>
  <c r="AE60" i="1"/>
  <c r="AB54" i="1"/>
  <c r="AD54" i="1"/>
  <c r="AE54" i="1"/>
  <c r="AI52" i="1"/>
  <c r="AB20" i="1"/>
  <c r="AC20" i="1"/>
  <c r="AD20" i="1"/>
  <c r="AE26" i="1"/>
  <c r="AB13" i="1"/>
  <c r="AC13" i="1"/>
  <c r="AD13" i="1"/>
  <c r="AE13" i="1"/>
  <c r="AF13" i="1"/>
  <c r="AG13" i="1"/>
  <c r="AH13" i="1"/>
  <c r="AJ14" i="1"/>
  <c r="AB58" i="1"/>
  <c r="AD58" i="1"/>
  <c r="AE58" i="1"/>
  <c r="AG58" i="1"/>
  <c r="AI53" i="1"/>
  <c r="AB52" i="1"/>
  <c r="AD52" i="1"/>
  <c r="AE52" i="1"/>
  <c r="AI50" i="1"/>
  <c r="AC12" i="1"/>
  <c r="AD12" i="1"/>
  <c r="AE12" i="1"/>
  <c r="AF12" i="1"/>
  <c r="AG12" i="1"/>
  <c r="AC21" i="1"/>
  <c r="AJ8" i="1"/>
  <c r="AS8" i="1"/>
  <c r="AV8" i="1"/>
  <c r="AX8" i="1"/>
  <c r="AC7" i="1"/>
  <c r="AS34" i="1"/>
  <c r="AV34" i="1"/>
  <c r="AX34" i="1"/>
  <c r="AB53" i="1"/>
  <c r="AD53" i="1"/>
  <c r="AE53" i="1"/>
  <c r="AB50" i="1"/>
  <c r="AM18" i="1"/>
  <c r="AS18" i="1"/>
  <c r="AV18" i="1"/>
  <c r="AM12" i="1"/>
  <c r="AS12" i="1"/>
  <c r="AV12" i="1"/>
  <c r="AB55" i="1"/>
  <c r="AD55" i="1"/>
  <c r="AE55" i="1"/>
  <c r="AD50" i="1"/>
  <c r="AB62" i="1"/>
  <c r="AB61" i="1"/>
  <c r="AE20" i="1"/>
  <c r="AJ9" i="1"/>
  <c r="AS9" i="1"/>
  <c r="AV9" i="1"/>
  <c r="AX9" i="1"/>
  <c r="AE19" i="1"/>
  <c r="AG53" i="1"/>
  <c r="AI51" i="1"/>
  <c r="AD61" i="1"/>
  <c r="AE61" i="1"/>
  <c r="AI54" i="1"/>
  <c r="K54" i="1"/>
  <c r="L54" i="1"/>
  <c r="AE8" i="1"/>
  <c r="AF26" i="1"/>
  <c r="AJ10" i="1"/>
  <c r="AS10" i="1"/>
  <c r="AV10" i="1"/>
  <c r="AX10" i="1"/>
  <c r="AD62" i="1"/>
  <c r="AE50" i="1"/>
  <c r="AF8" i="1"/>
  <c r="AF22" i="1"/>
  <c r="AS37" i="1"/>
  <c r="AV37" i="1"/>
  <c r="AX37" i="1"/>
  <c r="AG50" i="1"/>
  <c r="AI55" i="1"/>
  <c r="AI56" i="1"/>
  <c r="AI62" i="1"/>
  <c r="K52" i="1"/>
  <c r="L52" i="1"/>
  <c r="AE62" i="1"/>
  <c r="AS36" i="1"/>
  <c r="AV36" i="1"/>
  <c r="AX36" i="1"/>
  <c r="AF9" i="1"/>
  <c r="AG30" i="1"/>
  <c r="AG9" i="1"/>
  <c r="AH26" i="1"/>
  <c r="K43" i="1"/>
  <c r="L43" i="1"/>
  <c r="AW11" i="1"/>
  <c r="AW17" i="1"/>
  <c r="AW13" i="1"/>
  <c r="AG31" i="1"/>
  <c r="AU13" i="1"/>
  <c r="AU11" i="1"/>
  <c r="AU17" i="1"/>
  <c r="AH18" i="1"/>
  <c r="AJ16" i="1"/>
  <c r="AP26" i="1"/>
  <c r="AP21" i="1"/>
  <c r="AH12" i="1"/>
  <c r="AP16" i="1"/>
  <c r="AS16" i="1"/>
  <c r="AV16" i="1"/>
  <c r="AJ11" i="1"/>
  <c r="AH9" i="1"/>
  <c r="AJ13" i="1"/>
  <c r="AK5" i="1"/>
  <c r="AS5" i="1"/>
  <c r="AV5" i="1"/>
  <c r="AL26" i="1"/>
  <c r="AL17" i="1"/>
  <c r="AL5" i="1"/>
  <c r="AM5" i="1"/>
  <c r="AL13" i="1"/>
  <c r="AS13" i="1"/>
  <c r="AV13" i="1"/>
  <c r="AX23" i="1"/>
  <c r="AX5" i="1"/>
  <c r="AX16" i="1"/>
  <c r="AN26" i="1"/>
  <c r="AX18" i="1"/>
  <c r="AX13" i="1"/>
  <c r="AX12" i="1"/>
  <c r="AN19" i="1"/>
  <c r="AS19" i="1"/>
  <c r="AV19" i="1"/>
  <c r="AN14" i="1"/>
  <c r="AS14" i="1"/>
  <c r="AV14" i="1"/>
  <c r="AN27" i="1"/>
  <c r="K45" i="1"/>
  <c r="L45" i="1"/>
  <c r="AN5" i="1"/>
  <c r="AX19" i="1"/>
  <c r="AO26" i="1"/>
  <c r="AX14" i="1"/>
  <c r="AO20" i="1"/>
  <c r="AR26" i="1"/>
  <c r="AO15" i="1"/>
  <c r="AS15" i="1"/>
  <c r="AV15" i="1"/>
  <c r="AO5" i="1"/>
  <c r="AP5" i="1"/>
  <c r="AR20" i="1"/>
  <c r="AS20" i="1"/>
  <c r="AV20" i="1"/>
  <c r="AR22" i="1"/>
  <c r="AS22" i="1"/>
  <c r="AV22" i="1"/>
  <c r="AX22" i="1"/>
  <c r="AX20" i="1"/>
  <c r="AQ26" i="1"/>
  <c r="AX15" i="1"/>
  <c r="AQ11" i="1"/>
  <c r="AS11" i="1"/>
  <c r="AV11" i="1"/>
  <c r="AQ21" i="1"/>
  <c r="AQ17" i="1"/>
  <c r="AS17" i="1"/>
  <c r="AV17" i="1"/>
  <c r="AS21" i="1"/>
  <c r="AV21" i="1"/>
  <c r="AQ5" i="1"/>
  <c r="AR5" i="1"/>
  <c r="K15" i="1"/>
  <c r="AX11" i="1"/>
  <c r="AV38" i="1"/>
  <c r="AV39" i="1"/>
  <c r="AX17" i="1"/>
  <c r="K18" i="1"/>
  <c r="K20" i="1"/>
  <c r="K34" i="1"/>
  <c r="K23" i="1"/>
  <c r="K36" i="1"/>
  <c r="K38" i="1"/>
  <c r="K26" i="1"/>
  <c r="K9" i="1"/>
  <c r="K25" i="1"/>
  <c r="K33" i="1"/>
  <c r="K22" i="1"/>
  <c r="K27" i="1"/>
  <c r="K28" i="1"/>
  <c r="K30" i="1"/>
  <c r="K32" i="1"/>
  <c r="K24" i="1"/>
  <c r="K35" i="1"/>
  <c r="K37" i="1"/>
  <c r="K14" i="1"/>
  <c r="K21" i="1"/>
  <c r="K6" i="1"/>
  <c r="K17" i="1"/>
  <c r="K29" i="1"/>
  <c r="K31" i="1"/>
  <c r="K16" i="1"/>
  <c r="K11" i="1"/>
  <c r="K7" i="1"/>
  <c r="K8" i="1"/>
  <c r="K13" i="1"/>
  <c r="K10" i="1"/>
  <c r="K12" i="1"/>
  <c r="AX21" i="1"/>
  <c r="K19" i="1"/>
  <c r="AX38" i="1"/>
  <c r="K39" i="1"/>
  <c r="K46" i="1"/>
  <c r="AY26" i="1"/>
  <c r="AY37" i="1"/>
  <c r="AY24" i="1"/>
  <c r="AY28" i="1"/>
  <c r="AY33" i="1"/>
  <c r="AY27" i="1"/>
  <c r="AY35" i="1"/>
  <c r="AY23" i="1"/>
  <c r="AY32" i="1"/>
  <c r="AY34" i="1"/>
  <c r="AY36" i="1"/>
  <c r="AY7" i="1"/>
  <c r="AY31" i="1"/>
  <c r="AY29" i="1"/>
  <c r="AZ29" i="1"/>
  <c r="AY10" i="1"/>
  <c r="AY30" i="1"/>
  <c r="AY25" i="1"/>
  <c r="AY8" i="1"/>
  <c r="AY9" i="1"/>
  <c r="AY6" i="1"/>
  <c r="AY12" i="1"/>
  <c r="AY18" i="1"/>
  <c r="AY5" i="1"/>
  <c r="AY16" i="1"/>
  <c r="AY13" i="1"/>
  <c r="AY19" i="1"/>
  <c r="AY14" i="1"/>
  <c r="AY15" i="1"/>
  <c r="AY20" i="1"/>
  <c r="AY22" i="1"/>
  <c r="AY11" i="1"/>
  <c r="AY17" i="1"/>
  <c r="AY21" i="1"/>
  <c r="AZ19" i="1"/>
  <c r="L11" i="1"/>
  <c r="AZ18" i="1"/>
  <c r="L29" i="1"/>
  <c r="L7" i="1"/>
  <c r="L9" i="1"/>
  <c r="AZ8" i="1"/>
  <c r="AZ27" i="1"/>
  <c r="L36" i="1"/>
  <c r="L19" i="1"/>
  <c r="AZ21" i="1"/>
  <c r="AZ13" i="1"/>
  <c r="L16" i="1"/>
  <c r="AZ31" i="1"/>
  <c r="L24" i="1"/>
  <c r="L38" i="1"/>
  <c r="AZ33" i="1"/>
  <c r="L28" i="1"/>
  <c r="AZ6" i="1"/>
  <c r="AZ22" i="1"/>
  <c r="L13" i="1"/>
  <c r="L14" i="1"/>
  <c r="AZ34" i="1"/>
  <c r="AZ37" i="1"/>
  <c r="L26" i="1"/>
  <c r="AZ20" i="1"/>
  <c r="L12" i="1"/>
  <c r="L31" i="1"/>
  <c r="AZ12" i="1"/>
  <c r="L34" i="1"/>
  <c r="AZ25" i="1"/>
  <c r="AZ32" i="1"/>
  <c r="L37" i="1"/>
  <c r="AZ26" i="1"/>
  <c r="L35" i="1"/>
  <c r="L18" i="1"/>
  <c r="AZ17" i="1"/>
  <c r="AZ15" i="1"/>
  <c r="L10" i="1"/>
  <c r="AZ16" i="1"/>
  <c r="L17" i="1"/>
  <c r="L30" i="1"/>
  <c r="AZ30" i="1"/>
  <c r="L21" i="1"/>
  <c r="AZ7" i="1"/>
  <c r="AZ23" i="1"/>
  <c r="L27" i="1"/>
  <c r="L32" i="1"/>
  <c r="AZ28" i="1"/>
  <c r="L15" i="1"/>
  <c r="AZ11" i="1"/>
  <c r="AZ14" i="1"/>
  <c r="L8" i="1"/>
  <c r="AZ5" i="1"/>
  <c r="L6" i="1"/>
  <c r="AY38" i="1"/>
  <c r="L22" i="1"/>
  <c r="AZ9" i="1"/>
  <c r="L20" i="1"/>
  <c r="AZ10" i="1"/>
  <c r="AZ36" i="1"/>
  <c r="L25" i="1"/>
  <c r="AZ35" i="1"/>
  <c r="L23" i="1"/>
  <c r="AZ24" i="1"/>
  <c r="L33" i="1"/>
  <c r="AZ38" i="1"/>
  <c r="L49" i="1"/>
  <c r="K49" i="1"/>
  <c r="L39" i="1"/>
  <c r="L46" i="1"/>
  <c r="E22" i="1"/>
  <c r="E21" i="1"/>
</calcChain>
</file>

<file path=xl/comments1.xml><?xml version="1.0" encoding="utf-8"?>
<comments xmlns="http://schemas.openxmlformats.org/spreadsheetml/2006/main">
  <authors>
    <author>A satisfied Microsoft Office user</author>
    <author>Kurt Hollocher</author>
    <author xml:space="preserve"> </author>
  </authors>
  <commentList>
    <comment ref="L1" authorId="0" shapeId="0">
      <text>
        <r>
          <rPr>
            <sz val="8"/>
            <color indexed="81"/>
            <rFont val="Tahoma"/>
            <family val="2"/>
          </rPr>
          <t xml:space="preserve">Enter your data in the PALE YELLOW areas.  Results are shown in the PALE BLUE areas.
Norms (from normalize) are simply ways to recalculate chemical analyses of rocks in order to make some comparisons easier than, or at least different from, comparisons of the chemical analyses directly.  The norm program here is a modification of the standard CIPW weight norm that is most commonly used in geology.
Type in the chemical analysis of your rock under the heading "Rock Analysis".  If you wish, select one of the two options under "Correction Factors".  The "Normalized Analysis" is derived from the "Rock Analysis" column but includes the changes you requested under "Correction Factors".  The norms are calculated and listed under the headings "Weight % Norm" and "Volume % Norm", next to the list of "Normative Minerals".  Weight norms are the most commonly used.
</t>
        </r>
        <r>
          <rPr>
            <sz val="8"/>
            <color indexed="10"/>
            <rFont val="Tahoma"/>
            <family val="2"/>
          </rPr>
          <t>Note that many cells have red triangular markers that indicate an explanation for that cell.  Just put the cursor on the cell and the comments should appear.</t>
        </r>
        <r>
          <rPr>
            <sz val="8"/>
            <color indexed="81"/>
            <rFont val="Tahoma"/>
            <family val="2"/>
          </rPr>
          <t xml:space="preserve">
</t>
        </r>
        <r>
          <rPr>
            <b/>
            <sz val="8"/>
            <color indexed="81"/>
            <rFont val="Tahoma"/>
            <family val="2"/>
          </rPr>
          <t>General source for the norm calculation</t>
        </r>
        <r>
          <rPr>
            <sz val="8"/>
            <color indexed="81"/>
            <rFont val="Tahoma"/>
            <family val="2"/>
          </rPr>
          <t xml:space="preserve">
Johannsen, A., 1931, A Descriptive Petrography of the Igneous Rocks, Volume 1 (p. 88-92).  University of Chicago Press, Chicago, 267 p.
</t>
        </r>
        <r>
          <rPr>
            <b/>
            <sz val="8"/>
            <color indexed="81"/>
            <rFont val="Tahoma"/>
            <family val="2"/>
          </rPr>
          <t>Calculation modifications</t>
        </r>
        <r>
          <rPr>
            <sz val="8"/>
            <color indexed="81"/>
            <rFont val="Tahoma"/>
            <family val="2"/>
          </rPr>
          <t xml:space="preserve">
This norm has been modified to group all plagioclase components together, and to combine the normative En, Fs, and Wo components into diopside and orthopyroxene.  SO3 apportionment has been modified to include anhydrite if there is insufficient Na2O to make thenardite.  Cr2O3 apportionment has been modified to include the magnesiochromite component if there is insufficient FeO to produce iron chromite.</t>
        </r>
      </text>
    </comment>
    <comment ref="B5" authorId="0" shapeId="0">
      <text>
        <r>
          <rPr>
            <sz val="8"/>
            <color indexed="81"/>
            <rFont val="Tahoma"/>
            <family val="2"/>
          </rPr>
          <t>Type in the rock chemical composition here.  Different elements should be entered in their oxide weight percents, or in elemenal parts per million.  These measures correspond to the way these elements are usually given in a common chemical analysis.</t>
        </r>
      </text>
    </comment>
    <comment ref="E5" authorId="0" shapeId="0">
      <text>
        <r>
          <rPr>
            <sz val="8"/>
            <color indexed="81"/>
            <rFont val="Tahoma"/>
            <family val="2"/>
          </rPr>
          <t>The chemical analysis can be recalculated to 100% before calculating the norm.  In addition, you can set the ratio of Fe3+/(Fe3++Fe2+) to a constant ratio.</t>
        </r>
      </text>
    </comment>
    <comment ref="H5" authorId="0" shapeId="0">
      <text>
        <r>
          <rPr>
            <sz val="8"/>
            <color indexed="81"/>
            <rFont val="Tahoma"/>
            <family val="2"/>
          </rPr>
          <t>These values have been corrected as follows:  1) If you selected it, the values have been recalculated to total 100%.  Remember that because of rounding error the total may not be exactly 100%.  2) If you selected it, the iron oxides have been changed to equal a constant proportion that you chose.  In this case the total should be the same as the Rock Analysis total, except for rounding error.  Remember that, because of the recalculation, the oxide values will not be exactly the same as in the Rock Analysis.  3) If your analysis included trace elements, these elements have been recalculated from ppm of the elements to weight % of the oxides (e.g., 500 ppm Zr now equals 0.07 % ZrO2.</t>
        </r>
      </text>
    </comment>
    <comment ref="J5" authorId="0" shapeId="0">
      <text>
        <r>
          <rPr>
            <sz val="8"/>
            <color indexed="81"/>
            <rFont val="Tahoma"/>
            <family val="2"/>
          </rPr>
          <t>These are the various normative components (minerals) that the norm program calculates.  They are picked to be, in a certain sense, similar to the minerals you might find in an igneous rock slowly cooled at low pressure under dry conditions.  In a more practical sense, they are standard components which can be used to compare one rock with another in the same way that chemical analyses can be compared.  Don't get the idea that you will actually find all these phases in your rocks.</t>
        </r>
      </text>
    </comment>
    <comment ref="K5" authorId="0" shapeId="0">
      <text>
        <r>
          <rPr>
            <sz val="8"/>
            <color indexed="81"/>
            <rFont val="Tahoma"/>
            <family val="2"/>
          </rPr>
          <t>The weight norm is the standard norm that almost everybody uses.  The normative components (minerals) are calculated in terms of their weight %.  This type of norm should not be compared with thin section point count modes.</t>
        </r>
      </text>
    </comment>
    <comment ref="L5" authorId="0" shapeId="0">
      <text>
        <r>
          <rPr>
            <sz val="8"/>
            <color indexed="81"/>
            <rFont val="Tahoma"/>
            <family val="2"/>
          </rPr>
          <t>The volume norm is not usually reported in the literature.  In a volume norm the normative components (minerals) are calculated in terms of their volume % in the normative rock, rather than weight % which is the standard.  This type of norm can be compared, in some respects, to thin section point count modes.  Just remember that the normative components are pure, whereas real minerals are solid solutions, and also the norm does not include some real minerals like biotite.  For example the normative plagioclase and orthoclase could actually be a single mesoperthite or sanidine in a real rock. In another example, K-feldspar in the norm is generally much higher than it might be in a rock, because the norm treats biotite as K-feldpar plus pyroxenes etc. That makes them plot too far toward K-feldspar on Quartz-Alkali feldspar-Plagioclase diagrams, for example. Compare norms to norms, not norms to modes.</t>
        </r>
      </text>
    </comment>
    <comment ref="AK5" authorId="0" shapeId="0">
      <text>
        <r>
          <rPr>
            <sz val="8"/>
            <color indexed="81"/>
            <rFont val="Tahoma"/>
            <family val="2"/>
          </rPr>
          <t>Quartz</t>
        </r>
      </text>
    </comment>
    <comment ref="AL5" authorId="0" shapeId="0">
      <text>
        <r>
          <rPr>
            <sz val="8"/>
            <color indexed="81"/>
            <rFont val="Tahoma"/>
            <family val="2"/>
          </rPr>
          <t>Silica remaining after removing olivine from hypersthene.</t>
        </r>
      </text>
    </comment>
    <comment ref="AM5" authorId="0" shapeId="0">
      <text>
        <r>
          <rPr>
            <sz val="8"/>
            <color indexed="81"/>
            <rFont val="Tahoma"/>
            <family val="2"/>
          </rPr>
          <t>Silica after removing perovskite from sphene</t>
        </r>
      </text>
    </comment>
    <comment ref="AN5" authorId="0" shapeId="0">
      <text>
        <r>
          <rPr>
            <sz val="8"/>
            <color indexed="81"/>
            <rFont val="Tahoma"/>
            <family val="2"/>
          </rPr>
          <t>Silica after removing nepheline from albite.</t>
        </r>
      </text>
    </comment>
    <comment ref="AO5" authorId="0" shapeId="0">
      <text>
        <r>
          <rPr>
            <sz val="8"/>
            <color indexed="81"/>
            <rFont val="Tahoma"/>
            <family val="2"/>
          </rPr>
          <t>Silica after removing leucite from orthoclase.</t>
        </r>
      </text>
    </comment>
    <comment ref="AP5" authorId="0" shapeId="0">
      <text>
        <r>
          <rPr>
            <sz val="8"/>
            <color indexed="81"/>
            <rFont val="Tahoma"/>
            <family val="2"/>
          </rPr>
          <t>Silica after removing wollastonite to form larnite.</t>
        </r>
      </text>
    </comment>
    <comment ref="AQ5" authorId="0" shapeId="0">
      <text>
        <r>
          <rPr>
            <sz val="8"/>
            <color indexed="81"/>
            <rFont val="Tahoma"/>
            <family val="2"/>
          </rPr>
          <t>Silica after removing diopside to form larnite and more olivine.</t>
        </r>
      </text>
    </comment>
    <comment ref="AR5" authorId="0" shapeId="0">
      <text>
        <r>
          <rPr>
            <sz val="8"/>
            <color indexed="81"/>
            <rFont val="Tahoma"/>
            <family val="2"/>
          </rPr>
          <t>Silica after removal of kalsilite from leucite</t>
        </r>
      </text>
    </comment>
    <comment ref="E6" authorId="0" shapeId="0">
      <text>
        <r>
          <rPr>
            <sz val="8"/>
            <color indexed="81"/>
            <rFont val="Tahoma"/>
            <family val="2"/>
          </rPr>
          <t>If you want the calculated norm to be normalized to 100%, type a "Y" in this space.  If you want the norm calculated to the same weight total as the analysis you typed in, type a "N" in this space.</t>
        </r>
      </text>
    </comment>
    <comment ref="F6" authorId="0" shapeId="0">
      <text>
        <r>
          <rPr>
            <sz val="8"/>
            <color indexed="81"/>
            <rFont val="Tahoma"/>
            <family val="2"/>
          </rPr>
          <t>Enter a "Y" or an "N".  See help in the space to the left for an explanation.</t>
        </r>
      </text>
    </comment>
    <comment ref="X6" authorId="0" shapeId="0">
      <text>
        <r>
          <rPr>
            <sz val="8"/>
            <color indexed="81"/>
            <rFont val="Tahoma"/>
            <family val="2"/>
          </rPr>
          <t>Ilmenite</t>
        </r>
      </text>
    </comment>
    <comment ref="E7" authorId="0" shapeId="0">
      <text>
        <r>
          <rPr>
            <sz val="8"/>
            <color indexed="81"/>
            <rFont val="Tahoma"/>
            <family val="2"/>
          </rPr>
          <t>Normally you calculate a norm using the analyzed Fe2O3 and FeO proportions.  To do this just put a zero in the space to the right.  Sometimes, if a rock has been chemically altered, metamorphosed, or if you don't have data for both Fe2O3 and FeO, you may want to use a standard ratio of these two components to calculate the norm.  To choose a standard ratio, replace the zero in this space with a number from 0 to 1, corresponding to the desired molar ratio of Fe3+/(Total Iron).  Common ratios used for rocks of the following compositions are: 0.1 for basalts and basaltic andesites, 0.15 for andesites, 0.2 for dacites, and 0.3 for rhyolites.</t>
        </r>
      </text>
    </comment>
    <comment ref="F7" authorId="0" shapeId="0">
      <text>
        <r>
          <rPr>
            <sz val="8"/>
            <color indexed="81"/>
            <rFont val="Tahoma"/>
            <family val="2"/>
          </rPr>
          <t>Type in a zero or a number between 0 and 1.  If zero, the Fe2O3 and FeO values in the Rock Analysis column are used in the norm calculation.  If a value between zero and one is used, this value is used as the ratio of Fe3+ to total iron in the norm calculations.</t>
        </r>
      </text>
    </comment>
    <comment ref="AC7" authorId="0" shapeId="0">
      <text>
        <r>
          <rPr>
            <sz val="8"/>
            <color indexed="81"/>
            <rFont val="Tahoma"/>
            <family val="2"/>
          </rPr>
          <t>Corundum</t>
        </r>
      </text>
    </comment>
    <comment ref="J8" authorId="1" shapeId="0">
      <text>
        <r>
          <rPr>
            <sz val="9"/>
            <color indexed="81"/>
            <rFont val="Tahoma"/>
            <family val="2"/>
          </rPr>
          <t>Albite part of plagioclase, not included in the total below, but handy for some calculations and graphs.</t>
        </r>
      </text>
    </comment>
    <comment ref="AF8" authorId="0" shapeId="0">
      <text>
        <r>
          <rPr>
            <sz val="8"/>
            <color indexed="81"/>
            <rFont val="Tahoma"/>
            <family val="2"/>
          </rPr>
          <t>Magnetite</t>
        </r>
      </text>
    </comment>
    <comment ref="E9" authorId="0" shapeId="0">
      <text>
        <r>
          <rPr>
            <sz val="8"/>
            <color indexed="81"/>
            <rFont val="Tahoma"/>
            <family val="2"/>
          </rPr>
          <t>Information value.  If all iron in your rock occured as FeO, this is the weight % of the rock this oxide would make up.</t>
        </r>
      </text>
    </comment>
    <comment ref="J9" authorId="1" shapeId="0">
      <text>
        <r>
          <rPr>
            <sz val="9"/>
            <color indexed="81"/>
            <rFont val="Tahoma"/>
            <family val="2"/>
          </rPr>
          <t>Anorthite part of plagioclase, not included in the total below, but handy for some calculations and graphs.</t>
        </r>
      </text>
    </comment>
    <comment ref="Q9" authorId="1" shapeId="0">
      <text>
        <r>
          <rPr>
            <sz val="9"/>
            <color indexed="81"/>
            <rFont val="Tahoma"/>
            <family val="2"/>
          </rPr>
          <t>FeO now includes Fe2+, Mn, and Ni.</t>
        </r>
      </text>
    </comment>
    <comment ref="AH9" authorId="0" shapeId="0">
      <text>
        <r>
          <rPr>
            <sz val="8"/>
            <color indexed="81"/>
            <rFont val="Tahoma"/>
            <family val="2"/>
          </rPr>
          <t>Provisional Hypersthene</t>
        </r>
      </text>
    </comment>
    <comment ref="E10" authorId="0" shapeId="0">
      <text>
        <r>
          <rPr>
            <sz val="8"/>
            <color indexed="81"/>
            <rFont val="Tahoma"/>
            <family val="2"/>
          </rPr>
          <t>Informational value.  Weight % Fe2O3 for the norm, based on your analysis, or on your requested ratio of Fe3+/(Total Iron), selected above under "Correction Factors".</t>
        </r>
      </text>
    </comment>
    <comment ref="X10" authorId="0" shapeId="0">
      <text>
        <r>
          <rPr>
            <sz val="8"/>
            <color indexed="81"/>
            <rFont val="Tahoma"/>
            <family val="2"/>
          </rPr>
          <t>Provisional Sphene</t>
        </r>
      </text>
    </comment>
    <comment ref="AD10" authorId="0" shapeId="0">
      <text>
        <r>
          <rPr>
            <sz val="8"/>
            <color indexed="81"/>
            <rFont val="Tahoma"/>
            <family val="2"/>
          </rPr>
          <t>Provisional Sphene</t>
        </r>
      </text>
    </comment>
    <comment ref="E11" authorId="0" shapeId="0">
      <text>
        <r>
          <rPr>
            <sz val="8"/>
            <color indexed="81"/>
            <rFont val="Tahoma"/>
            <family val="2"/>
          </rPr>
          <t>Informational value.  Weight % FeO for the norm, based on your analysis, or on your requested ratio of Fe3+/(Total Iron), selected above under "Correction Factors".</t>
        </r>
      </text>
    </comment>
    <comment ref="AQ11" authorId="0" shapeId="0">
      <text>
        <r>
          <rPr>
            <sz val="8"/>
            <color indexed="81"/>
            <rFont val="Tahoma"/>
            <family val="2"/>
          </rPr>
          <t>Diopside</t>
        </r>
      </text>
    </comment>
    <comment ref="E12" authorId="0" shapeId="0">
      <text>
        <r>
          <rPr>
            <sz val="8"/>
            <color indexed="81"/>
            <rFont val="Tahoma"/>
            <family val="2"/>
          </rPr>
          <t>Informational value.  This value is used to recalculate your chemical analysis if you either decided to have the norm calculated to 100% total, or if you decided to change the ratio of the iron oxides in your analysis to use in the norm, or both.</t>
        </r>
      </text>
    </comment>
    <comment ref="Q12" authorId="2" shapeId="0">
      <text>
        <r>
          <rPr>
            <sz val="8"/>
            <color indexed="81"/>
            <rFont val="Tahoma"/>
            <family val="2"/>
          </rPr>
          <t>CaO now includes SrO</t>
        </r>
      </text>
    </comment>
    <comment ref="AH12" authorId="0" shapeId="0">
      <text>
        <r>
          <rPr>
            <sz val="8"/>
            <color indexed="81"/>
            <rFont val="Tahoma"/>
            <family val="2"/>
          </rPr>
          <t>Diopside</t>
        </r>
      </text>
    </comment>
    <comment ref="AM12" authorId="0" shapeId="0">
      <text>
        <r>
          <rPr>
            <sz val="8"/>
            <color indexed="81"/>
            <rFont val="Tahoma"/>
            <family val="2"/>
          </rPr>
          <t>Sphene</t>
        </r>
      </text>
    </comment>
    <comment ref="AB13" authorId="0" shapeId="0">
      <text>
        <r>
          <rPr>
            <sz val="8"/>
            <color indexed="81"/>
            <rFont val="Tahoma"/>
            <family val="2"/>
          </rPr>
          <t>Provisional Albite</t>
        </r>
      </text>
    </comment>
    <comment ref="AL13" authorId="0" shapeId="0">
      <text>
        <r>
          <rPr>
            <sz val="8"/>
            <color indexed="81"/>
            <rFont val="Tahoma"/>
            <family val="2"/>
          </rPr>
          <t>Hypersthene</t>
        </r>
      </text>
    </comment>
    <comment ref="Q14" authorId="2" shapeId="0">
      <text>
        <r>
          <rPr>
            <sz val="8"/>
            <color indexed="81"/>
            <rFont val="Tahoma"/>
            <family val="2"/>
          </rPr>
          <t>K2O now includes BaO, because Ba substitutes vastly better into K-feldspar than into plagioclase.  This is not a perfect solution for what to do with Ba, but it seems better than having a separate celsian normative component.</t>
        </r>
      </text>
    </comment>
    <comment ref="AA14" authorId="0" shapeId="0">
      <text>
        <r>
          <rPr>
            <sz val="8"/>
            <color indexed="81"/>
            <rFont val="Tahoma"/>
            <family val="2"/>
          </rPr>
          <t>Orthoclase or Leucite or Kalsilite</t>
        </r>
      </text>
    </comment>
    <comment ref="AN14" authorId="0" shapeId="0">
      <text>
        <r>
          <rPr>
            <sz val="8"/>
            <color indexed="81"/>
            <rFont val="Tahoma"/>
            <family val="2"/>
          </rPr>
          <t>Albite</t>
        </r>
      </text>
    </comment>
    <comment ref="R15" authorId="0" shapeId="0">
      <text>
        <r>
          <rPr>
            <sz val="8"/>
            <color indexed="81"/>
            <rFont val="Tahoma"/>
            <family val="2"/>
          </rPr>
          <t>Apatite</t>
        </r>
      </text>
    </comment>
    <comment ref="AA15" authorId="0" shapeId="0">
      <text>
        <r>
          <rPr>
            <sz val="8"/>
            <color indexed="81"/>
            <rFont val="Tahoma"/>
            <family val="2"/>
          </rPr>
          <t>K2SiO3</t>
        </r>
      </text>
    </comment>
    <comment ref="AO15" authorId="0" shapeId="0">
      <text>
        <r>
          <rPr>
            <sz val="8"/>
            <color indexed="81"/>
            <rFont val="Tahoma"/>
            <family val="2"/>
          </rPr>
          <t>Orthoclase</t>
        </r>
      </text>
    </comment>
    <comment ref="Y16" authorId="0" shapeId="0">
      <text>
        <r>
          <rPr>
            <sz val="8"/>
            <color indexed="81"/>
            <rFont val="Tahoma"/>
            <family val="2"/>
          </rPr>
          <t>Calcite</t>
        </r>
      </text>
    </comment>
    <comment ref="AP16" authorId="0" shapeId="0">
      <text>
        <r>
          <rPr>
            <sz val="8"/>
            <color indexed="81"/>
            <rFont val="Tahoma"/>
            <family val="2"/>
          </rPr>
          <t>Wollastonite</t>
        </r>
      </text>
    </comment>
    <comment ref="U17" authorId="0" shapeId="0">
      <text>
        <r>
          <rPr>
            <sz val="8"/>
            <color indexed="81"/>
            <rFont val="Tahoma"/>
            <family val="2"/>
          </rPr>
          <t>Anhydrite</t>
        </r>
      </text>
    </comment>
    <comment ref="Y17" authorId="0" shapeId="0">
      <text>
        <r>
          <rPr>
            <sz val="8"/>
            <color indexed="81"/>
            <rFont val="Tahoma"/>
            <family val="2"/>
          </rPr>
          <t>Na2CO3</t>
        </r>
      </text>
    </comment>
    <comment ref="AL17" authorId="0" shapeId="0">
      <text>
        <r>
          <rPr>
            <sz val="8"/>
            <color indexed="81"/>
            <rFont val="Tahoma"/>
            <family val="2"/>
          </rPr>
          <t>Olivine</t>
        </r>
      </text>
    </comment>
    <comment ref="AQ17" authorId="0" shapeId="0">
      <text>
        <r>
          <rPr>
            <sz val="8"/>
            <color indexed="81"/>
            <rFont val="Tahoma"/>
            <family val="2"/>
          </rPr>
          <t>Olivine</t>
        </r>
      </text>
    </comment>
    <comment ref="V18" authorId="0" shapeId="0">
      <text>
        <r>
          <rPr>
            <sz val="8"/>
            <color indexed="81"/>
            <rFont val="Tahoma"/>
            <family val="2"/>
          </rPr>
          <t>Pyrite</t>
        </r>
      </text>
    </comment>
    <comment ref="AD18" authorId="0" shapeId="0">
      <text>
        <r>
          <rPr>
            <sz val="8"/>
            <color indexed="81"/>
            <rFont val="Tahoma"/>
            <family val="2"/>
          </rPr>
          <t>Rutile</t>
        </r>
      </text>
    </comment>
    <comment ref="AH18" authorId="0" shapeId="0">
      <text>
        <r>
          <rPr>
            <sz val="8"/>
            <color indexed="81"/>
            <rFont val="Tahoma"/>
            <family val="2"/>
          </rPr>
          <t>Provisional Wollastonite</t>
        </r>
      </text>
    </comment>
    <comment ref="AM18" authorId="0" shapeId="0">
      <text>
        <r>
          <rPr>
            <sz val="8"/>
            <color indexed="81"/>
            <rFont val="Tahoma"/>
            <family val="2"/>
          </rPr>
          <t>Perovskite</t>
        </r>
      </text>
    </comment>
    <comment ref="T19" authorId="0" shapeId="0">
      <text>
        <r>
          <rPr>
            <sz val="8"/>
            <color indexed="81"/>
            <rFont val="Tahoma"/>
            <family val="2"/>
          </rPr>
          <t>Fluorite</t>
        </r>
      </text>
    </comment>
    <comment ref="AE19" authorId="0" shapeId="0">
      <text>
        <r>
          <rPr>
            <sz val="8"/>
            <color indexed="81"/>
            <rFont val="Tahoma"/>
            <family val="2"/>
          </rPr>
          <t>Na2SiO3</t>
        </r>
      </text>
    </comment>
    <comment ref="AN19" authorId="0" shapeId="0">
      <text>
        <r>
          <rPr>
            <sz val="8"/>
            <color indexed="81"/>
            <rFont val="Tahoma"/>
            <family val="2"/>
          </rPr>
          <t>Nepheline</t>
        </r>
      </text>
    </comment>
    <comment ref="S20" authorId="0" shapeId="0">
      <text>
        <r>
          <rPr>
            <sz val="8"/>
            <color indexed="81"/>
            <rFont val="Tahoma"/>
            <family val="2"/>
          </rPr>
          <t>Halite</t>
        </r>
      </text>
    </comment>
    <comment ref="AB20" authorId="0" shapeId="0">
      <text>
        <r>
          <rPr>
            <sz val="8"/>
            <color indexed="81"/>
            <rFont val="Tahoma"/>
            <family val="2"/>
          </rPr>
          <t>Na2SiO3 or Acmite</t>
        </r>
      </text>
    </comment>
    <comment ref="AE20" authorId="0" shapeId="0">
      <text>
        <r>
          <rPr>
            <sz val="8"/>
            <color indexed="81"/>
            <rFont val="Tahoma"/>
            <family val="2"/>
          </rPr>
          <t>Acmite</t>
        </r>
      </text>
    </comment>
    <comment ref="AO20" authorId="0" shapeId="0">
      <text>
        <r>
          <rPr>
            <sz val="8"/>
            <color indexed="81"/>
            <rFont val="Tahoma"/>
            <family val="2"/>
          </rPr>
          <t>Leucite</t>
        </r>
      </text>
    </comment>
    <comment ref="AR20" authorId="0" shapeId="0">
      <text>
        <r>
          <rPr>
            <sz val="8"/>
            <color indexed="81"/>
            <rFont val="Tahoma"/>
            <family val="2"/>
          </rPr>
          <t>Leucite</t>
        </r>
      </text>
    </comment>
    <comment ref="E21" authorId="0" shapeId="0">
      <text>
        <r>
          <rPr>
            <sz val="8"/>
            <color indexed="81"/>
            <rFont val="Tahoma"/>
            <family val="2"/>
          </rPr>
          <t>This box checks certain parts of the calculations to be sure they are consistent with a correct norm.  The green OK message indicates that there is nothing grossly incorrect detected in this calculated norm.  This does not necessarily mean that the norm is correct, and you should always check for data entry errors and the reasonableness of the norm itself.</t>
        </r>
      </text>
    </comment>
    <comment ref="U21" authorId="0" shapeId="0">
      <text>
        <r>
          <rPr>
            <sz val="8"/>
            <color indexed="81"/>
            <rFont val="Tahoma"/>
            <family val="2"/>
          </rPr>
          <t>Thenardite</t>
        </r>
      </text>
    </comment>
    <comment ref="AC21" authorId="0" shapeId="0">
      <text>
        <r>
          <rPr>
            <sz val="8"/>
            <color indexed="81"/>
            <rFont val="Tahoma"/>
            <family val="2"/>
          </rPr>
          <t>Anorthite</t>
        </r>
      </text>
    </comment>
    <comment ref="AP21" authorId="0" shapeId="0">
      <text>
        <r>
          <rPr>
            <sz val="8"/>
            <color indexed="81"/>
            <rFont val="Tahoma"/>
            <family val="2"/>
          </rPr>
          <t>Larnite</t>
        </r>
      </text>
    </comment>
    <comment ref="AQ21" authorId="0" shapeId="0">
      <text>
        <r>
          <rPr>
            <sz val="8"/>
            <color indexed="81"/>
            <rFont val="Tahoma"/>
            <family val="2"/>
          </rPr>
          <t>Larnite</t>
        </r>
      </text>
    </comment>
    <comment ref="E22" authorId="0" shapeId="0">
      <text>
        <r>
          <rPr>
            <sz val="8"/>
            <color indexed="81"/>
            <rFont val="Tahoma"/>
            <family val="2"/>
          </rPr>
          <t>This box checks certain parts of the calculations to be sure they are consistent with a correct norm.  The red warning message indicates that there is a problem with the norm.  This may mean that your rock composition was typed in wrong, that the rock composition lies outside the composition space in which the norm is designed to work, or it may indicate a bug in the calculation program.  First, check for data entry errors.  If this is not the problem, bring it to my (Kurt Hollocher) attention.</t>
        </r>
      </text>
    </comment>
    <comment ref="AF22" authorId="0" shapeId="0">
      <text>
        <r>
          <rPr>
            <sz val="8"/>
            <color indexed="81"/>
            <rFont val="Tahoma"/>
            <family val="2"/>
          </rPr>
          <t>Hematite</t>
        </r>
      </text>
    </comment>
    <comment ref="AR22" authorId="0" shapeId="0">
      <text>
        <r>
          <rPr>
            <sz val="8"/>
            <color indexed="81"/>
            <rFont val="Tahoma"/>
            <family val="2"/>
          </rPr>
          <t>Kalsilite</t>
        </r>
      </text>
    </comment>
    <comment ref="W23" authorId="0" shapeId="0">
      <text>
        <r>
          <rPr>
            <sz val="8"/>
            <color indexed="81"/>
            <rFont val="Tahoma"/>
            <family val="2"/>
          </rPr>
          <t>Magnesiochromite</t>
        </r>
      </text>
    </comment>
    <comment ref="W24" authorId="0" shapeId="0">
      <text>
        <r>
          <rPr>
            <sz val="8"/>
            <color indexed="81"/>
            <rFont val="Tahoma"/>
            <family val="2"/>
          </rPr>
          <t>Chromite</t>
        </r>
      </text>
    </comment>
    <comment ref="Z25" authorId="0" shapeId="0">
      <text>
        <r>
          <rPr>
            <sz val="8"/>
            <color indexed="81"/>
            <rFont val="Tahoma"/>
            <family val="2"/>
          </rPr>
          <t>Zircon</t>
        </r>
      </text>
    </comment>
    <comment ref="B27" authorId="0" shapeId="0">
      <text>
        <r>
          <rPr>
            <sz val="8"/>
            <color indexed="81"/>
            <rFont val="Tahoma"/>
            <family val="2"/>
          </rPr>
          <t>This total excludes the trace elements.</t>
        </r>
      </text>
    </comment>
    <comment ref="H27" authorId="0" shapeId="0">
      <text>
        <r>
          <rPr>
            <sz val="8"/>
            <color indexed="81"/>
            <rFont val="Tahoma"/>
            <family val="2"/>
          </rPr>
          <t>This total includes the trace elements recalculated from ppm elements to weight %  oxides.  If you include trace elements, the total here will be different than the rock analysis total, which does not include trace elements.</t>
        </r>
      </text>
    </comment>
    <comment ref="O32" authorId="0" shapeId="0">
      <text>
        <r>
          <rPr>
            <sz val="8"/>
            <color indexed="81"/>
            <rFont val="Tahoma"/>
            <family val="2"/>
          </rPr>
          <t>Grams/cc, calculated assuming the crudly estimated liquidus temperature given below.  From McBirney, A.R.., 1993, Igneous Petrology, Second Edition.  Appendix B, in, Jones and Bartlett Publishers, Boston, 508 p.</t>
        </r>
      </text>
    </comment>
    <comment ref="K39" authorId="1" shapeId="0">
      <text>
        <r>
          <rPr>
            <sz val="9"/>
            <color indexed="81"/>
            <rFont val="Tahoma"/>
            <family val="2"/>
          </rPr>
          <t>If you want the total to be 100%, change the "Total=100%? Y/N" box to Y.  Otherwise it should be the same as the Normalized Analysis total. This total does not include Albite and Anorthite, above, only Plagioclase. The separate Albite and Anorthite are useful for some calculations and graphs.</t>
        </r>
      </text>
    </comment>
    <comment ref="L39" authorId="1" shapeId="0">
      <text>
        <r>
          <rPr>
            <sz val="9"/>
            <color indexed="81"/>
            <rFont val="Tahoma"/>
            <family val="2"/>
          </rPr>
          <t>If you want the total to be 100%, change the "Total=100%? Y/N" box to Y.  Otherwise it should be the same as the Normalized Analysis total.</t>
        </r>
      </text>
    </comment>
    <comment ref="J40" authorId="0" shapeId="0">
      <text>
        <r>
          <rPr>
            <sz val="8"/>
            <color indexed="81"/>
            <rFont val="Tahoma"/>
            <family val="2"/>
          </rPr>
          <t>The molar ratio of ferric (Fe3+) iron to total iron in the rock composition used for the norm (specifically the ratio in the Corrected Analysis).  This ratio is a measure of the oxidation state of the rock.  Expressed out of a maximum of 100%.</t>
        </r>
      </text>
    </comment>
    <comment ref="J41" authorId="0" shapeId="0">
      <text>
        <r>
          <rPr>
            <sz val="8"/>
            <color indexed="81"/>
            <rFont val="Tahoma"/>
            <family val="2"/>
          </rPr>
          <t>The molar ratio of Mg to the total of Mg and Total Iron in the rock (specifically in the Corrected Analysis).  This ratio is a measure of the differentiation of an igneous rock.  This ratio is independent of the degree of oxidation of the iron in the rock.  Expressed out of a maximum of 100%.</t>
        </r>
      </text>
    </comment>
    <comment ref="J42" authorId="0" shapeId="0">
      <text>
        <r>
          <rPr>
            <sz val="8"/>
            <color indexed="81"/>
            <rFont val="Tahoma"/>
            <family val="2"/>
          </rPr>
          <t>The molar ratio of Mg to the total of Mg and Fe2+ in the rock (specifically in the Corrected Analysis).  This ratio is a measure of the differentiation of an igneous rock.  Expressed out of a maximum of 100%.</t>
        </r>
      </text>
    </comment>
    <comment ref="J43" authorId="0" shapeId="0">
      <text>
        <r>
          <rPr>
            <sz val="8"/>
            <color indexed="81"/>
            <rFont val="Tahoma"/>
            <family val="2"/>
          </rPr>
          <t>The molar ratio of Mg to the total of Mg and Fe2+ in the normative silicates (olivine, diopside, and hypersthene).  This ratio is a measure of the differentiation of an igneous rock.  Expressed out of a maximum of 100%</t>
        </r>
      </text>
    </comment>
    <comment ref="J44" authorId="0" shapeId="0">
      <text>
        <r>
          <rPr>
            <sz val="8"/>
            <color indexed="81"/>
            <rFont val="Tahoma"/>
            <family val="2"/>
          </rPr>
          <t>The molar ratio of Ca to the total of Ca and Na in the rock (specifically in the Corrected Analysis).  This ratio is a measure of the differentiation of an igneous rock.  Expressed out of a maximum of 100%.</t>
        </r>
      </text>
    </comment>
    <comment ref="J45" authorId="0" shapeId="0">
      <text>
        <r>
          <rPr>
            <sz val="8"/>
            <color indexed="81"/>
            <rFont val="Tahoma"/>
            <family val="2"/>
          </rPr>
          <t>The molar ratio of Ca/(Ca+Na) in the normative plagiolclase feldspar, expressed out of a maximum value of 100%.  This ratio is one measure of the differentiation of an igneous rock.</t>
        </r>
      </text>
    </comment>
    <comment ref="J46" authorId="0" shapeId="0">
      <text>
        <r>
          <rPr>
            <sz val="8"/>
            <color indexed="81"/>
            <rFont val="Tahoma"/>
            <family val="2"/>
          </rPr>
          <t>Thornton-Tuttle differentiation index.  This is the ratio of normative (quartz + albite + orthoclase + nepheline + leucite + kalsilite + sodium carbonate + sodium sulfate) to the weight total of the norm.  This is a measure of the differentiation of an igneous rock.  Note the two different values calculated for the weight and volume norms.  Expressed out of a maximum of 100%.</t>
        </r>
      </text>
    </comment>
    <comment ref="J47" authorId="1" shapeId="0">
      <text>
        <r>
          <rPr>
            <sz val="9"/>
            <color indexed="81"/>
            <rFont val="Tahoma"/>
            <family val="2"/>
          </rPr>
          <t>Molar Al2O3/((CaO-(3.33*P2O5))+Na2O+K2O). Values &lt;1 are subaluminous, those &gt;1 are peraluminous.
Generally, values 1.05-1.10 are sufficiently aluminous to have aluminous minerals such as muscovite, cordierite, garnet, or aluminosilicates.
Rocks having values of 1.00-1.05 are sometimes referred to as metaluminous, having no Ca-rch minerals like hornblende and titanite, but also no aluminous minerals.
Rocks having values &lt;1.0 typically have Ca-rich minerals line hornblende, augite, and titanite.
Biotite is common in all.</t>
        </r>
      </text>
    </comment>
    <comment ref="J48" authorId="1" shapeId="0">
      <text>
        <r>
          <rPr>
            <sz val="9"/>
            <color indexed="81"/>
            <rFont val="Tahoma"/>
            <family val="2"/>
          </rPr>
          <t>Molar Al2O3/(Na2O+K2O). Values &lt;1 are peralkaline, &gt;1 are subalkaline.
Peralkaline rocks have more Na and K than can be accommodated in feldspars, and so stabilize Na- and K-rich minerals like riebeckite, aegirine, and astrophyllite.  In contrast, subalkaline rocks tend to have hornblende, augite, and orthopyroxene. Biotite is common in both.</t>
        </r>
      </text>
    </comment>
    <comment ref="J49" authorId="0" shapeId="0">
      <text>
        <r>
          <rPr>
            <sz val="8"/>
            <color indexed="81"/>
            <rFont val="Tahoma"/>
            <family val="2"/>
          </rPr>
          <t>The solid rock density calculated from the volume norm.  Except for the exclusion of water in the norm (admittedly a substantial problem), this calculated value is probably quite accurate.</t>
        </r>
      </text>
    </comment>
    <comment ref="J50" authorId="0" shapeId="0">
      <text>
        <r>
          <rPr>
            <sz val="8"/>
            <color indexed="81"/>
            <rFont val="Tahoma"/>
            <family val="2"/>
          </rPr>
          <t>Grams/cc, calculated assuming a dry magma and the crudely estimated liquidus temperature given below.  From McBirney, A.R.., 1993, Igneous Petrology, Second Edition.  Appendix B, in, Jones and Bartlett Publishers, Boston, 508 p.</t>
        </r>
      </text>
    </comment>
    <comment ref="J51" authorId="0" shapeId="0">
      <text>
        <r>
          <rPr>
            <sz val="8"/>
            <color indexed="81"/>
            <rFont val="Tahoma"/>
            <family val="2"/>
          </rPr>
          <t>Log base 10 of the liquid viscosity in Pas (Pascal seconds), calculated assuming a dry magma and the crudely estimated liquidus temperature given below.  From McBirney, A.R., 1993, Igneous Petrology, Second Edition.  Appendix B, in, Jones and Bartlett Publishers, Boston, 508 p.</t>
        </r>
      </text>
    </comment>
    <comment ref="J52" authorId="0" shapeId="0">
      <text>
        <r>
          <rPr>
            <sz val="8"/>
            <color indexed="81"/>
            <rFont val="Tahoma"/>
            <family val="2"/>
          </rPr>
          <t>Log base 10 of the liquid viscosity in Pas (Pascal seconds), calculated assuming a wet magma and the crudely estimated liquidus temperature given below.  %H2O in the magma was estimated as described below under "estimated H2O content".  From McBirney, A.R., 1993, Igneous Petrology, Second Edition.  Appendix B, in, Jones and Bartlett Publishers, Boston, 508 p.</t>
        </r>
      </text>
    </comment>
    <comment ref="J53" authorId="0" shapeId="0">
      <text>
        <r>
          <rPr>
            <sz val="8"/>
            <color indexed="81"/>
            <rFont val="Tahoma"/>
            <family val="2"/>
          </rPr>
          <t>Calculated using a linear equation that assumes liquidus temperatures of 1250 C for magmas with 48% SiO2 and 700 C for magmas with 78% SiO2:  Temp = (- 18.33 * SiO2%) + 2130.  This value is only used for liquid density and viscosity calculations.  Do not use for petrogenetic purposes.</t>
        </r>
      </text>
    </comment>
    <comment ref="J54" authorId="0" shapeId="0">
      <text>
        <r>
          <rPr>
            <sz val="8"/>
            <color indexed="81"/>
            <rFont val="Tahoma"/>
            <family val="2"/>
          </rPr>
          <t>This estimate is based on medium-pressure plutonic rocks, and is a 4th order polynomial fit through a set of assumed values that are based on silica content.  The polynomial is fit through the following %SiO2/%H2O points: 35/0.1, 40/0.1, 45/0.2, 50/0.4, 55/0.8, 60/1.6, 65/2.8, 70/3.9, 75/5.0, and 78/6.0.  This value is for wet magma viscosity calculations only, and should not be used for petrogenetic purposes.</t>
        </r>
      </text>
    </comment>
    <comment ref="O68" authorId="0" shapeId="0">
      <text>
        <r>
          <rPr>
            <sz val="8"/>
            <color indexed="81"/>
            <rFont val="Tahoma"/>
            <family val="2"/>
          </rPr>
          <t>This total includes the trace elements.</t>
        </r>
      </text>
    </comment>
  </commentList>
</comments>
</file>

<file path=xl/sharedStrings.xml><?xml version="1.0" encoding="utf-8"?>
<sst xmlns="http://schemas.openxmlformats.org/spreadsheetml/2006/main" count="406" uniqueCount="188">
  <si>
    <t>Program run:</t>
  </si>
  <si>
    <t>HELP</t>
  </si>
  <si>
    <t>Sample Number:</t>
  </si>
  <si>
    <t>Calculations</t>
  </si>
  <si>
    <t>Mol.</t>
  </si>
  <si>
    <t>Calculation steps after Johannsen, 1931.</t>
  </si>
  <si>
    <t>Silica proportioning</t>
  </si>
  <si>
    <t>MW</t>
  </si>
  <si>
    <t>Weight</t>
  </si>
  <si>
    <t>Mineral</t>
  </si>
  <si>
    <t>Vol.Prop.</t>
  </si>
  <si>
    <t>Volume</t>
  </si>
  <si>
    <t>Cont. to</t>
  </si>
  <si>
    <t>Rock</t>
  </si>
  <si>
    <t>Normative</t>
  </si>
  <si>
    <t>Weight %</t>
  </si>
  <si>
    <t>Volume %</t>
  </si>
  <si>
    <t>Wts.</t>
  </si>
  <si>
    <t>3a</t>
  </si>
  <si>
    <t>3b</t>
  </si>
  <si>
    <t>3g</t>
  </si>
  <si>
    <t>3c</t>
  </si>
  <si>
    <t>3d</t>
  </si>
  <si>
    <t>3e</t>
  </si>
  <si>
    <t>3f</t>
  </si>
  <si>
    <t>3h</t>
  </si>
  <si>
    <t>3i</t>
  </si>
  <si>
    <t>4a 4b</t>
  </si>
  <si>
    <t>4c 4g</t>
  </si>
  <si>
    <t>4d 4e 4f</t>
  </si>
  <si>
    <t>3f cont</t>
  </si>
  <si>
    <t>5a 5b</t>
  </si>
  <si>
    <t>5c 5d</t>
  </si>
  <si>
    <t>7a 7b 7c</t>
  </si>
  <si>
    <t>8a</t>
  </si>
  <si>
    <t>8b</t>
  </si>
  <si>
    <t>8c</t>
  </si>
  <si>
    <t>8d</t>
  </si>
  <si>
    <t>8e</t>
  </si>
  <si>
    <t>8f</t>
  </si>
  <si>
    <t>8g2</t>
  </si>
  <si>
    <t>8g1</t>
  </si>
  <si>
    <t>8h</t>
  </si>
  <si>
    <t>Props.</t>
  </si>
  <si>
    <t>Minerals</t>
  </si>
  <si>
    <t>Norm</t>
  </si>
  <si>
    <t>Density</t>
  </si>
  <si>
    <t>of Minerals</t>
  </si>
  <si>
    <t>Analysis</t>
  </si>
  <si>
    <t>Factors</t>
  </si>
  <si>
    <t>SiO2</t>
  </si>
  <si>
    <t>Quartz</t>
  </si>
  <si>
    <t>%</t>
  </si>
  <si>
    <t>Total=100%? Y/N</t>
  </si>
  <si>
    <t>TiO2</t>
  </si>
  <si>
    <t>Zircon</t>
  </si>
  <si>
    <t>Fe3+/(Total Iron)</t>
  </si>
  <si>
    <t>Plagioclase</t>
  </si>
  <si>
    <t>Al2O3</t>
  </si>
  <si>
    <t>K2SiO3</t>
  </si>
  <si>
    <t>Orthoclase</t>
  </si>
  <si>
    <t>Fe2O3</t>
  </si>
  <si>
    <t>Anorthite</t>
  </si>
  <si>
    <t>Total Fe as FeO</t>
  </si>
  <si>
    <t>Nepheline</t>
  </si>
  <si>
    <t>FeO</t>
  </si>
  <si>
    <t>Na2SiO3</t>
  </si>
  <si>
    <t>Desired Fe2O3</t>
  </si>
  <si>
    <t>Leucite</t>
  </si>
  <si>
    <t>MnO</t>
  </si>
  <si>
    <t>Desired FeO</t>
  </si>
  <si>
    <t>Kalsilite</t>
  </si>
  <si>
    <t>MgO</t>
  </si>
  <si>
    <t>Diopside</t>
  </si>
  <si>
    <t>Weight corr. factor</t>
  </si>
  <si>
    <t>Corundum</t>
  </si>
  <si>
    <t>CaO</t>
  </si>
  <si>
    <t>Sphene</t>
  </si>
  <si>
    <t>Na2O</t>
  </si>
  <si>
    <t>Hypersthene</t>
  </si>
  <si>
    <t>K2O</t>
  </si>
  <si>
    <t>Albite</t>
  </si>
  <si>
    <t>Wollastonite</t>
  </si>
  <si>
    <t>P2O5</t>
  </si>
  <si>
    <t>Olivine</t>
  </si>
  <si>
    <t>CO2</t>
  </si>
  <si>
    <t>Larnite</t>
  </si>
  <si>
    <t>SO3</t>
  </si>
  <si>
    <t>S</t>
  </si>
  <si>
    <t>Perovskite</t>
  </si>
  <si>
    <t>F</t>
  </si>
  <si>
    <t>Norm calculation checks:</t>
  </si>
  <si>
    <t>Cl</t>
  </si>
  <si>
    <t>Rutile</t>
  </si>
  <si>
    <t>Sr</t>
  </si>
  <si>
    <t>ppm</t>
  </si>
  <si>
    <t>Ilmenite</t>
  </si>
  <si>
    <t>Ba</t>
  </si>
  <si>
    <t>Magnetite</t>
  </si>
  <si>
    <t>Ni</t>
  </si>
  <si>
    <t>Apatite</t>
  </si>
  <si>
    <t>Hematite</t>
  </si>
  <si>
    <t>Cr</t>
  </si>
  <si>
    <t>Halite</t>
  </si>
  <si>
    <t>Zr</t>
  </si>
  <si>
    <t>Fluorite</t>
  </si>
  <si>
    <t>Element affected in calculation</t>
  </si>
  <si>
    <t>Anhydrite</t>
  </si>
  <si>
    <t>Total</t>
  </si>
  <si>
    <t>Final mineral proportion</t>
  </si>
  <si>
    <t>Magnesiochromite</t>
  </si>
  <si>
    <t>Calcite</t>
  </si>
  <si>
    <t>An' in plagioclase</t>
  </si>
  <si>
    <t>Thenardite</t>
  </si>
  <si>
    <t>Chromite</t>
  </si>
  <si>
    <t>Provisional mineral proportion</t>
  </si>
  <si>
    <t>Na2CO3</t>
  </si>
  <si>
    <t>Pyrite</t>
  </si>
  <si>
    <t xml:space="preserve"> =MW apatite in this sample</t>
  </si>
  <si>
    <t>Mg' silicates</t>
  </si>
  <si>
    <t>MW FMO</t>
  </si>
  <si>
    <t>Density calculations</t>
  </si>
  <si>
    <t>Viscosity calculations, dry magma</t>
  </si>
  <si>
    <t>Wt.%</t>
  </si>
  <si>
    <t>Cor.%</t>
  </si>
  <si>
    <t>Ox.Prop.</t>
  </si>
  <si>
    <t>Cat/ox</t>
  </si>
  <si>
    <t>Cat prop.</t>
  </si>
  <si>
    <t>t</t>
  </si>
  <si>
    <t>Cat prop</t>
  </si>
  <si>
    <t>Cat prop. normalized to 1</t>
  </si>
  <si>
    <t>First calcs</t>
  </si>
  <si>
    <t>Second calcs</t>
  </si>
  <si>
    <t>Na2SO4</t>
  </si>
  <si>
    <t>Z1</t>
  </si>
  <si>
    <t>C</t>
  </si>
  <si>
    <t>Q1</t>
  </si>
  <si>
    <t>Z2</t>
  </si>
  <si>
    <t>Q2</t>
  </si>
  <si>
    <t>Z3</t>
  </si>
  <si>
    <t>Q3</t>
  </si>
  <si>
    <t>Z4</t>
  </si>
  <si>
    <t>FM</t>
  </si>
  <si>
    <t>Q4</t>
  </si>
  <si>
    <t>Fe3+/(Total Fe) in rock</t>
  </si>
  <si>
    <t>Z5</t>
  </si>
  <si>
    <t xml:space="preserve"> = rock density</t>
  </si>
  <si>
    <t>Mg/(Mg+Total Fe) in rock</t>
  </si>
  <si>
    <t>Z6</t>
  </si>
  <si>
    <t>QT</t>
  </si>
  <si>
    <t>Mg/(Mg+Fe2+) in rock</t>
  </si>
  <si>
    <t>Z7</t>
  </si>
  <si>
    <t>X</t>
  </si>
  <si>
    <t>Mg/(Mg+Fe2+) in silicates</t>
  </si>
  <si>
    <t>Z8</t>
  </si>
  <si>
    <t>Ca/(Ca+Na) in rock</t>
  </si>
  <si>
    <t>Z9</t>
  </si>
  <si>
    <t>NK</t>
  </si>
  <si>
    <t>Z10</t>
  </si>
  <si>
    <t>Differentiation Index</t>
  </si>
  <si>
    <t>Calculated density, g/cc</t>
  </si>
  <si>
    <t>Log v</t>
  </si>
  <si>
    <t>Viscosity calculations, wet magma</t>
  </si>
  <si>
    <t>Q5</t>
  </si>
  <si>
    <t>H2O</t>
  </si>
  <si>
    <t>This program was written by Kurt Hollocher, Geology Department, Union College, Schenectady, NY, 12308, hollochk@union.edu</t>
  </si>
  <si>
    <t>Rock analysis normalized to 100%</t>
  </si>
  <si>
    <t>Calculated liquid density, g/cc</t>
  </si>
  <si>
    <t>Calculated viscosity, dry, Pas</t>
  </si>
  <si>
    <t>Calculated viscosity, wet, Pas</t>
  </si>
  <si>
    <t>Estimated liquidus temp., °C</t>
  </si>
  <si>
    <t>Estimated H2O content, wt. %</t>
  </si>
  <si>
    <t>Normalized</t>
  </si>
  <si>
    <t>Normalization</t>
  </si>
  <si>
    <t>Plagioclase An content</t>
  </si>
  <si>
    <t>Norm 4: norm calculation program</t>
  </si>
  <si>
    <t>Titanite</t>
  </si>
  <si>
    <t>Not macro-enabled</t>
  </si>
  <si>
    <t>Correction factor for K=Ba, Ca=Sr, and other approximations</t>
  </si>
  <si>
    <t>y</t>
  </si>
  <si>
    <t>Aluminum Saturation Index</t>
  </si>
  <si>
    <t>Alkalinity Index</t>
  </si>
  <si>
    <t>Aegirine</t>
  </si>
  <si>
    <t>(Albite)</t>
  </si>
  <si>
    <t>(Anorthite)</t>
  </si>
  <si>
    <t>Norm calculation section, don't modify this section unless you know what you are doing</t>
  </si>
  <si>
    <t xml:space="preserve"> =MW hydroxyapatite</t>
  </si>
  <si>
    <t xml:space="preserve"> =MW fluorapatite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</si>
</sst>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0"/>
    <numFmt numFmtId="166" formatCode="0.0"/>
  </numFmts>
  <fonts count="11" x14ac:knownFonts="1">
    <font>
      <sz val="8"/>
      <name val="MS Sans Serif"/>
    </font>
    <font>
      <sz val="8"/>
      <color indexed="81"/>
      <name val="Tahoma"/>
      <family val="2"/>
    </font>
    <font>
      <b/>
      <sz val="8"/>
      <name val="Arial"/>
      <family val="2"/>
    </font>
    <font>
      <sz val="8"/>
      <name val="Arial"/>
      <family val="2"/>
    </font>
    <font>
      <b/>
      <sz val="8"/>
      <color indexed="17"/>
      <name val="Arial"/>
      <family val="2"/>
    </font>
    <font>
      <b/>
      <sz val="8"/>
      <color indexed="10"/>
      <name val="Arial"/>
      <family val="2"/>
    </font>
    <font>
      <sz val="8"/>
      <color indexed="10"/>
      <name val="Tahoma"/>
      <family val="2"/>
    </font>
    <font>
      <b/>
      <sz val="8"/>
      <color indexed="81"/>
      <name val="Tahoma"/>
      <family val="2"/>
    </font>
    <font>
      <sz val="9"/>
      <color indexed="81"/>
      <name val="Tahoma"/>
      <family val="2"/>
    </font>
    <font>
      <b/>
      <sz val="8"/>
      <color theme="0"/>
      <name val="Arial"/>
      <family val="2"/>
    </font>
    <font>
      <sz val="8"/>
      <color theme="0" tint="-0.34998626667073579"/>
      <name val="Arial"/>
      <family val="2"/>
    </font>
  </fonts>
  <fills count="15">
    <fill>
      <patternFill patternType="none"/>
    </fill>
    <fill>
      <patternFill patternType="gray125"/>
    </fill>
    <fill>
      <patternFill patternType="solid">
        <fgColor indexed="10"/>
      </patternFill>
    </fill>
    <fill>
      <patternFill patternType="solid">
        <fgColor indexed="15"/>
      </patternFill>
    </fill>
    <fill>
      <patternFill patternType="solid">
        <fgColor indexed="11"/>
      </patternFill>
    </fill>
    <fill>
      <patternFill patternType="solid">
        <fgColor indexed="43"/>
        <bgColor indexed="64"/>
      </patternFill>
    </fill>
    <fill>
      <patternFill patternType="lightGray">
        <fgColor indexed="13"/>
        <bgColor indexed="43"/>
      </patternFill>
    </fill>
    <fill>
      <patternFill patternType="solid">
        <fgColor indexed="13"/>
      </patternFill>
    </fill>
    <fill>
      <patternFill patternType="solid">
        <fgColor indexed="43"/>
        <bgColor indexed="13"/>
      </patternFill>
    </fill>
    <fill>
      <patternFill patternType="solid">
        <fgColor indexed="42"/>
        <bgColor indexed="64"/>
      </patternFill>
    </fill>
    <fill>
      <patternFill patternType="solid">
        <fgColor indexed="45"/>
        <bgColor indexed="64"/>
      </patternFill>
    </fill>
    <fill>
      <patternFill patternType="gray125">
        <fgColor indexed="9"/>
      </patternFill>
    </fill>
    <fill>
      <patternFill patternType="solid">
        <fgColor rgb="FFCCFFFF"/>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53">
    <xf numFmtId="0" fontId="0" fillId="0" borderId="0" xfId="0"/>
    <xf numFmtId="0" fontId="2" fillId="0" borderId="0" xfId="0" applyFont="1"/>
    <xf numFmtId="0" fontId="3" fillId="0" borderId="0" xfId="0" applyFont="1" applyAlignment="1">
      <alignment horizontal="left"/>
    </xf>
    <xf numFmtId="0" fontId="3" fillId="0" borderId="0" xfId="0" applyFont="1"/>
    <xf numFmtId="14" fontId="3" fillId="0" borderId="0" xfId="0" applyNumberFormat="1" applyFont="1" applyProtection="1"/>
    <xf numFmtId="0" fontId="2" fillId="0" borderId="1" xfId="0" applyFont="1" applyBorder="1"/>
    <xf numFmtId="0" fontId="3" fillId="0" borderId="1" xfId="0" applyFont="1" applyBorder="1" applyAlignment="1">
      <alignment horizontal="center"/>
    </xf>
    <xf numFmtId="0" fontId="3" fillId="0" borderId="1" xfId="0" applyFont="1" applyBorder="1" applyProtection="1">
      <protection locked="0"/>
    </xf>
    <xf numFmtId="0" fontId="3" fillId="0" borderId="1" xfId="0" applyFont="1" applyBorder="1" applyAlignment="1" applyProtection="1">
      <alignment horizontal="center"/>
      <protection locked="0"/>
    </xf>
    <xf numFmtId="0" fontId="3" fillId="0" borderId="0" xfId="0" applyFont="1" applyAlignment="1">
      <alignment horizontal="center"/>
    </xf>
    <xf numFmtId="0" fontId="3" fillId="0" borderId="0" xfId="0" applyFont="1" applyBorder="1"/>
    <xf numFmtId="0" fontId="3" fillId="0" borderId="1" xfId="0" applyFont="1" applyBorder="1"/>
    <xf numFmtId="0" fontId="2" fillId="0" borderId="0" xfId="0" applyFont="1" applyAlignment="1">
      <alignment horizontal="center"/>
    </xf>
    <xf numFmtId="0" fontId="3" fillId="0" borderId="0" xfId="0" applyFont="1" applyFill="1" applyAlignment="1">
      <alignment horizontal="center"/>
    </xf>
    <xf numFmtId="0" fontId="3" fillId="0" borderId="1"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xf>
    <xf numFmtId="0" fontId="3" fillId="0" borderId="1" xfId="0" applyFont="1" applyBorder="1" applyAlignment="1"/>
    <xf numFmtId="0" fontId="3" fillId="0" borderId="2" xfId="0" applyFont="1" applyBorder="1"/>
    <xf numFmtId="0" fontId="2" fillId="0" borderId="0" xfId="0" applyFont="1" applyBorder="1" applyAlignment="1">
      <alignment horizontal="center"/>
    </xf>
    <xf numFmtId="0" fontId="2" fillId="0" borderId="1" xfId="0" applyFont="1" applyBorder="1" applyAlignment="1">
      <alignment horizontal="left"/>
    </xf>
    <xf numFmtId="2" fontId="3" fillId="0" borderId="0" xfId="0" applyNumberFormat="1" applyFont="1"/>
    <xf numFmtId="0" fontId="2" fillId="0" borderId="3" xfId="0" applyFont="1" applyFill="1" applyBorder="1"/>
    <xf numFmtId="0" fontId="3" fillId="3" borderId="0" xfId="0" applyFont="1" applyFill="1"/>
    <xf numFmtId="0" fontId="3" fillId="0" borderId="0" xfId="0" applyFont="1" applyFill="1"/>
    <xf numFmtId="0" fontId="3" fillId="4" borderId="0" xfId="0" applyFont="1" applyFill="1"/>
    <xf numFmtId="0" fontId="2" fillId="0" borderId="3" xfId="0" applyFont="1" applyBorder="1"/>
    <xf numFmtId="2" fontId="3" fillId="5" borderId="0" xfId="0" applyNumberFormat="1" applyFont="1" applyFill="1" applyBorder="1" applyProtection="1">
      <protection locked="0"/>
    </xf>
    <xf numFmtId="0" fontId="3" fillId="0" borderId="4" xfId="0" applyFont="1" applyBorder="1"/>
    <xf numFmtId="0" fontId="3" fillId="6" borderId="4" xfId="0" applyFont="1" applyFill="1" applyBorder="1" applyAlignment="1" applyProtection="1">
      <alignment horizontal="right"/>
      <protection locked="0"/>
    </xf>
    <xf numFmtId="0" fontId="2" fillId="0" borderId="5" xfId="0" applyFont="1" applyFill="1" applyBorder="1"/>
    <xf numFmtId="0" fontId="2" fillId="0" borderId="5" xfId="0" applyFont="1" applyBorder="1"/>
    <xf numFmtId="0" fontId="3" fillId="0" borderId="6" xfId="0" applyFont="1" applyBorder="1"/>
    <xf numFmtId="0" fontId="2" fillId="0" borderId="2" xfId="0" applyFont="1" applyBorder="1"/>
    <xf numFmtId="0" fontId="3" fillId="6" borderId="7" xfId="0" applyNumberFormat="1" applyFont="1" applyFill="1" applyBorder="1" applyProtection="1">
      <protection locked="0"/>
    </xf>
    <xf numFmtId="0" fontId="3" fillId="0" borderId="3" xfId="0" applyFont="1" applyBorder="1"/>
    <xf numFmtId="2" fontId="3" fillId="0" borderId="0" xfId="0" applyNumberFormat="1" applyFont="1" applyBorder="1"/>
    <xf numFmtId="0" fontId="3" fillId="3" borderId="0" xfId="0" applyFont="1" applyFill="1" applyBorder="1"/>
    <xf numFmtId="0" fontId="3" fillId="7" borderId="0" xfId="0" applyFont="1" applyFill="1" applyBorder="1"/>
    <xf numFmtId="0" fontId="3" fillId="4" borderId="0" xfId="0" applyFont="1" applyFill="1" applyBorder="1"/>
    <xf numFmtId="0" fontId="3" fillId="0" borderId="5" xfId="0" applyFont="1" applyBorder="1"/>
    <xf numFmtId="0" fontId="3" fillId="7" borderId="0" xfId="0" applyFont="1" applyFill="1"/>
    <xf numFmtId="2" fontId="3" fillId="0" borderId="8" xfId="0" applyNumberFormat="1" applyFont="1" applyBorder="1"/>
    <xf numFmtId="2" fontId="3" fillId="0" borderId="0" xfId="0" applyNumberFormat="1" applyFont="1" applyAlignment="1">
      <alignment horizontal="right"/>
    </xf>
    <xf numFmtId="2" fontId="3" fillId="8" borderId="0" xfId="0" applyNumberFormat="1" applyFont="1" applyFill="1" applyBorder="1" applyProtection="1">
      <protection locked="0"/>
    </xf>
    <xf numFmtId="2" fontId="3" fillId="8" borderId="0" xfId="0" applyNumberFormat="1" applyFont="1" applyFill="1" applyProtection="1">
      <protection locked="0"/>
    </xf>
    <xf numFmtId="2" fontId="2" fillId="0" borderId="3" xfId="0" applyNumberFormat="1" applyFont="1" applyBorder="1"/>
    <xf numFmtId="2" fontId="3" fillId="0" borderId="4" xfId="0" applyNumberFormat="1" applyFont="1" applyBorder="1"/>
    <xf numFmtId="0" fontId="4" fillId="9" borderId="5" xfId="0" applyNumberFormat="1" applyFont="1" applyFill="1" applyBorder="1"/>
    <xf numFmtId="2" fontId="3" fillId="9" borderId="6" xfId="0" applyNumberFormat="1" applyFont="1" applyFill="1" applyBorder="1"/>
    <xf numFmtId="1" fontId="3" fillId="8" borderId="0" xfId="0" applyNumberFormat="1" applyFont="1" applyFill="1" applyBorder="1" applyProtection="1">
      <protection locked="0"/>
    </xf>
    <xf numFmtId="0" fontId="5" fillId="10" borderId="2" xfId="0" applyNumberFormat="1" applyFont="1" applyFill="1" applyBorder="1"/>
    <xf numFmtId="2" fontId="3" fillId="10" borderId="7" xfId="0" applyNumberFormat="1" applyFont="1" applyFill="1" applyBorder="1"/>
    <xf numFmtId="0" fontId="2" fillId="0" borderId="2" xfId="0" applyFont="1" applyFill="1" applyBorder="1"/>
    <xf numFmtId="2" fontId="3" fillId="0" borderId="1" xfId="0" applyNumberFormat="1" applyFont="1" applyBorder="1"/>
    <xf numFmtId="0" fontId="3" fillId="4" borderId="1" xfId="0" applyFont="1" applyFill="1" applyBorder="1"/>
    <xf numFmtId="1" fontId="3" fillId="8" borderId="1" xfId="0" applyNumberFormat="1" applyFont="1" applyFill="1" applyBorder="1" applyProtection="1">
      <protection locked="0"/>
    </xf>
    <xf numFmtId="0" fontId="3" fillId="0" borderId="7" xfId="0" applyFont="1" applyBorder="1"/>
    <xf numFmtId="2" fontId="3" fillId="0" borderId="0" xfId="0" applyNumberFormat="1" applyFont="1" applyFill="1"/>
    <xf numFmtId="2" fontId="2" fillId="0" borderId="0" xfId="0" applyNumberFormat="1" applyFont="1" applyFill="1"/>
    <xf numFmtId="2" fontId="3" fillId="0" borderId="9" xfId="0" applyNumberFormat="1" applyFont="1" applyFill="1" applyBorder="1"/>
    <xf numFmtId="0" fontId="3" fillId="0" borderId="10" xfId="0" applyFont="1" applyBorder="1" applyAlignment="1">
      <alignment horizontal="right"/>
    </xf>
    <xf numFmtId="0" fontId="3" fillId="0" borderId="10" xfId="0" applyFont="1" applyBorder="1" applyAlignment="1">
      <alignment horizontal="left"/>
    </xf>
    <xf numFmtId="0" fontId="3" fillId="0" borderId="11" xfId="0" applyFont="1" applyBorder="1"/>
    <xf numFmtId="0" fontId="3" fillId="0" borderId="9" xfId="0" applyFont="1" applyBorder="1"/>
    <xf numFmtId="0" fontId="3" fillId="0" borderId="10" xfId="0" applyFont="1" applyBorder="1"/>
    <xf numFmtId="2" fontId="2" fillId="0" borderId="5" xfId="0" applyNumberFormat="1" applyFont="1" applyFill="1" applyBorder="1"/>
    <xf numFmtId="2" fontId="3" fillId="0" borderId="0" xfId="0" applyNumberFormat="1" applyFont="1" applyBorder="1" applyAlignment="1">
      <alignment horizontal="right"/>
    </xf>
    <xf numFmtId="165" fontId="3" fillId="0" borderId="0" xfId="0" applyNumberFormat="1" applyFont="1" applyBorder="1" applyAlignment="1">
      <alignment horizontal="right"/>
    </xf>
    <xf numFmtId="0" fontId="3" fillId="0" borderId="0" xfId="0" applyFont="1" applyBorder="1" applyAlignment="1">
      <alignment horizontal="right"/>
    </xf>
    <xf numFmtId="0" fontId="2" fillId="0" borderId="0" xfId="0" applyFont="1" applyBorder="1" applyAlignment="1">
      <alignment horizontal="right"/>
    </xf>
    <xf numFmtId="2" fontId="3" fillId="0" borderId="6" xfId="0" applyNumberFormat="1" applyFont="1" applyBorder="1"/>
    <xf numFmtId="165" fontId="3" fillId="0" borderId="0" xfId="0" applyNumberFormat="1" applyFont="1" applyBorder="1"/>
    <xf numFmtId="0" fontId="2" fillId="0" borderId="0" xfId="0" applyFont="1" applyBorder="1"/>
    <xf numFmtId="165" fontId="2" fillId="0" borderId="0" xfId="0" applyNumberFormat="1" applyFont="1" applyBorder="1"/>
    <xf numFmtId="165" fontId="3" fillId="0" borderId="6" xfId="0" applyNumberFormat="1" applyFont="1" applyBorder="1"/>
    <xf numFmtId="0" fontId="2" fillId="0" borderId="12" xfId="0" applyFont="1" applyBorder="1"/>
    <xf numFmtId="0" fontId="3" fillId="0" borderId="0" xfId="0" applyNumberFormat="1" applyFont="1"/>
    <xf numFmtId="2" fontId="3" fillId="0" borderId="1" xfId="0" applyNumberFormat="1" applyFont="1" applyBorder="1" applyAlignment="1">
      <alignment horizontal="right"/>
    </xf>
    <xf numFmtId="165" fontId="3" fillId="0" borderId="1" xfId="0" applyNumberFormat="1" applyFont="1" applyBorder="1" applyAlignment="1">
      <alignment horizontal="right"/>
    </xf>
    <xf numFmtId="0" fontId="3" fillId="0" borderId="1" xfId="0" applyFont="1" applyBorder="1" applyAlignment="1">
      <alignment horizontal="right"/>
    </xf>
    <xf numFmtId="0" fontId="2" fillId="0" borderId="1" xfId="0" applyFont="1" applyBorder="1" applyAlignment="1">
      <alignment horizontal="right"/>
    </xf>
    <xf numFmtId="2" fontId="3" fillId="0" borderId="7" xfId="0" applyNumberFormat="1" applyFont="1" applyBorder="1"/>
    <xf numFmtId="165" fontId="3" fillId="0" borderId="1" xfId="0" applyNumberFormat="1" applyFont="1" applyBorder="1"/>
    <xf numFmtId="166" fontId="3" fillId="0" borderId="7" xfId="0" applyNumberFormat="1" applyFont="1" applyBorder="1"/>
    <xf numFmtId="0" fontId="3" fillId="0" borderId="12" xfId="0" applyFont="1" applyBorder="1"/>
    <xf numFmtId="0" fontId="2" fillId="0" borderId="0" xfId="0" applyFont="1" applyFill="1"/>
    <xf numFmtId="0" fontId="3" fillId="0" borderId="0" xfId="0" applyFont="1" applyFill="1" applyBorder="1"/>
    <xf numFmtId="2" fontId="3" fillId="0" borderId="0" xfId="0" applyNumberFormat="1" applyFont="1" applyFill="1" applyBorder="1" applyProtection="1">
      <protection locked="0"/>
    </xf>
    <xf numFmtId="0" fontId="2" fillId="11" borderId="5" xfId="0" applyFont="1" applyFill="1" applyBorder="1"/>
    <xf numFmtId="0" fontId="3" fillId="11" borderId="0" xfId="0" applyFont="1" applyFill="1" applyBorder="1"/>
    <xf numFmtId="2" fontId="3" fillId="0" borderId="0" xfId="0" applyNumberFormat="1" applyFont="1" applyFill="1" applyBorder="1"/>
    <xf numFmtId="0" fontId="3" fillId="0" borderId="0" xfId="0" applyFont="1" applyFill="1" applyBorder="1" applyAlignment="1">
      <alignment horizontal="right"/>
    </xf>
    <xf numFmtId="165" fontId="3" fillId="0" borderId="0" xfId="0" applyNumberFormat="1" applyFont="1" applyFill="1" applyBorder="1"/>
    <xf numFmtId="0" fontId="2" fillId="0" borderId="0" xfId="0" applyFont="1" applyFill="1" applyBorder="1"/>
    <xf numFmtId="165" fontId="2" fillId="0" borderId="0" xfId="0" applyNumberFormat="1" applyFont="1" applyFill="1" applyBorder="1"/>
    <xf numFmtId="165" fontId="3" fillId="0" borderId="6" xfId="0" applyNumberFormat="1" applyFont="1" applyFill="1" applyBorder="1"/>
    <xf numFmtId="165" fontId="2" fillId="0" borderId="1" xfId="0" applyNumberFormat="1" applyFont="1" applyBorder="1"/>
    <xf numFmtId="165" fontId="3" fillId="0" borderId="7" xfId="0" applyNumberFormat="1" applyFont="1" applyBorder="1"/>
    <xf numFmtId="0" fontId="9" fillId="2" borderId="13" xfId="0" applyFont="1" applyFill="1" applyBorder="1" applyAlignment="1">
      <alignment horizontal="center"/>
    </xf>
    <xf numFmtId="164" fontId="3" fillId="0" borderId="0" xfId="0" applyNumberFormat="1" applyFont="1" applyFill="1" applyBorder="1" applyProtection="1">
      <protection locked="0"/>
    </xf>
    <xf numFmtId="2" fontId="3" fillId="0" borderId="1" xfId="0" applyNumberFormat="1" applyFont="1" applyFill="1" applyBorder="1"/>
    <xf numFmtId="164" fontId="3" fillId="0" borderId="1" xfId="0" applyNumberFormat="1" applyFont="1" applyFill="1" applyBorder="1" applyProtection="1">
      <protection locked="0"/>
    </xf>
    <xf numFmtId="0" fontId="10" fillId="0" borderId="5" xfId="0" applyFont="1" applyBorder="1"/>
    <xf numFmtId="2" fontId="3" fillId="12" borderId="1" xfId="0" applyNumberFormat="1" applyFont="1" applyFill="1" applyBorder="1"/>
    <xf numFmtId="2" fontId="3" fillId="12" borderId="4" xfId="0" applyNumberFormat="1" applyFont="1" applyFill="1" applyBorder="1"/>
    <xf numFmtId="2" fontId="3" fillId="12" borderId="6" xfId="0" applyNumberFormat="1" applyFont="1" applyFill="1" applyBorder="1"/>
    <xf numFmtId="164" fontId="3" fillId="12" borderId="7" xfId="0" applyNumberFormat="1" applyFont="1" applyFill="1" applyBorder="1"/>
    <xf numFmtId="2" fontId="3" fillId="12" borderId="14" xfId="0" applyNumberFormat="1" applyFont="1" applyFill="1" applyBorder="1"/>
    <xf numFmtId="2" fontId="3" fillId="12" borderId="15" xfId="0" applyNumberFormat="1" applyFont="1" applyFill="1" applyBorder="1"/>
    <xf numFmtId="2" fontId="3" fillId="12" borderId="8" xfId="0" applyNumberFormat="1" applyFont="1" applyFill="1" applyBorder="1"/>
    <xf numFmtId="2" fontId="3" fillId="12" borderId="12" xfId="0" applyNumberFormat="1" applyFont="1" applyFill="1" applyBorder="1"/>
    <xf numFmtId="2" fontId="3" fillId="12" borderId="0" xfId="0" applyNumberFormat="1" applyFont="1" applyFill="1" applyBorder="1"/>
    <xf numFmtId="2" fontId="10" fillId="12" borderId="0" xfId="0" applyNumberFormat="1" applyFont="1" applyFill="1"/>
    <xf numFmtId="2" fontId="10" fillId="12" borderId="6" xfId="0" applyNumberFormat="1" applyFont="1" applyFill="1" applyBorder="1"/>
    <xf numFmtId="2" fontId="10" fillId="12" borderId="0" xfId="0" applyNumberFormat="1" applyFont="1" applyFill="1" applyBorder="1"/>
    <xf numFmtId="2" fontId="3" fillId="12" borderId="7" xfId="0" applyNumberFormat="1" applyFont="1" applyFill="1" applyBorder="1"/>
    <xf numFmtId="166" fontId="3" fillId="12" borderId="12" xfId="0" applyNumberFormat="1" applyFont="1" applyFill="1" applyBorder="1" applyAlignment="1">
      <alignment horizontal="right"/>
    </xf>
    <xf numFmtId="166" fontId="3" fillId="12" borderId="4" xfId="0" applyNumberFormat="1" applyFont="1" applyFill="1" applyBorder="1" applyAlignment="1">
      <alignment horizontal="right"/>
    </xf>
    <xf numFmtId="166" fontId="3" fillId="12" borderId="0" xfId="0" applyNumberFormat="1" applyFont="1" applyFill="1" applyBorder="1" applyAlignment="1">
      <alignment horizontal="right"/>
    </xf>
    <xf numFmtId="166" fontId="3" fillId="12" borderId="6" xfId="0" applyNumberFormat="1" applyFont="1" applyFill="1" applyBorder="1" applyAlignment="1">
      <alignment horizontal="right"/>
    </xf>
    <xf numFmtId="166" fontId="3" fillId="12" borderId="1" xfId="0" applyNumberFormat="1" applyFont="1" applyFill="1" applyBorder="1" applyAlignment="1">
      <alignment horizontal="right"/>
    </xf>
    <xf numFmtId="166" fontId="3" fillId="12" borderId="7" xfId="0" applyNumberFormat="1" applyFont="1" applyFill="1" applyBorder="1" applyAlignment="1">
      <alignment horizontal="right"/>
    </xf>
    <xf numFmtId="2" fontId="3" fillId="12" borderId="0" xfId="0" applyNumberFormat="1" applyFont="1" applyFill="1" applyBorder="1" applyAlignment="1">
      <alignment horizontal="right"/>
    </xf>
    <xf numFmtId="2" fontId="3" fillId="12" borderId="6" xfId="0" applyNumberFormat="1" applyFont="1" applyFill="1" applyBorder="1" applyAlignment="1">
      <alignment horizontal="right"/>
    </xf>
    <xf numFmtId="2" fontId="3" fillId="12" borderId="1" xfId="0" applyNumberFormat="1" applyFont="1" applyFill="1" applyBorder="1" applyAlignment="1">
      <alignment horizontal="right"/>
    </xf>
    <xf numFmtId="2" fontId="3" fillId="12" borderId="7" xfId="0" applyNumberFormat="1" applyFont="1" applyFill="1" applyBorder="1" applyAlignment="1">
      <alignment horizontal="right"/>
    </xf>
    <xf numFmtId="2" fontId="3" fillId="12" borderId="12" xfId="0" applyNumberFormat="1" applyFont="1" applyFill="1" applyBorder="1" applyAlignment="1">
      <alignment horizontal="right"/>
    </xf>
    <xf numFmtId="2" fontId="3" fillId="12" borderId="4" xfId="0" applyNumberFormat="1" applyFont="1" applyFill="1" applyBorder="1" applyAlignment="1">
      <alignment horizontal="right"/>
    </xf>
    <xf numFmtId="1" fontId="3" fillId="12" borderId="0" xfId="0" applyNumberFormat="1" applyFont="1" applyFill="1" applyBorder="1" applyAlignment="1">
      <alignment horizontal="right"/>
    </xf>
    <xf numFmtId="1" fontId="3" fillId="12" borderId="6" xfId="0" applyNumberFormat="1" applyFont="1" applyFill="1" applyBorder="1" applyAlignment="1">
      <alignment horizontal="right"/>
    </xf>
    <xf numFmtId="0" fontId="3" fillId="13" borderId="0" xfId="0" applyFont="1" applyFill="1"/>
    <xf numFmtId="0" fontId="3" fillId="13" borderId="0" xfId="0" applyFont="1" applyFill="1" applyAlignment="1">
      <alignment horizontal="right"/>
    </xf>
    <xf numFmtId="0" fontId="3" fillId="13" borderId="0" xfId="0" applyFont="1" applyFill="1" applyBorder="1"/>
    <xf numFmtId="0" fontId="3" fillId="13" borderId="0" xfId="0" applyNumberFormat="1" applyFont="1" applyFill="1"/>
    <xf numFmtId="0" fontId="2" fillId="13" borderId="0" xfId="0" applyFont="1" applyFill="1" applyBorder="1"/>
    <xf numFmtId="2" fontId="3" fillId="13" borderId="0" xfId="0" applyNumberFormat="1" applyFont="1" applyFill="1" applyBorder="1" applyProtection="1">
      <protection locked="0"/>
    </xf>
    <xf numFmtId="2" fontId="3" fillId="13" borderId="0" xfId="0" applyNumberFormat="1" applyFont="1" applyFill="1"/>
    <xf numFmtId="164" fontId="3" fillId="13" borderId="0" xfId="0" applyNumberFormat="1" applyFont="1" applyFill="1"/>
    <xf numFmtId="1" fontId="3" fillId="13" borderId="0" xfId="0" applyNumberFormat="1" applyFont="1" applyFill="1" applyBorder="1" applyProtection="1">
      <protection locked="0"/>
    </xf>
    <xf numFmtId="0" fontId="3" fillId="13" borderId="0" xfId="0" applyFont="1" applyFill="1" applyBorder="1" applyProtection="1">
      <protection locked="0"/>
    </xf>
    <xf numFmtId="0" fontId="2" fillId="13" borderId="0" xfId="0" applyFont="1" applyFill="1"/>
    <xf numFmtId="0" fontId="2" fillId="13" borderId="0" xfId="0" applyFont="1" applyFill="1" applyAlignment="1">
      <alignment horizontal="center"/>
    </xf>
    <xf numFmtId="2" fontId="3" fillId="13" borderId="0" xfId="0" applyNumberFormat="1" applyFont="1" applyFill="1" applyBorder="1"/>
    <xf numFmtId="0" fontId="3" fillId="13" borderId="0" xfId="0" applyFont="1" applyFill="1" applyBorder="1" applyAlignment="1">
      <alignment horizontal="center"/>
    </xf>
    <xf numFmtId="0" fontId="2" fillId="13" borderId="0" xfId="0" applyFont="1" applyFill="1" applyBorder="1" applyAlignment="1">
      <alignment horizontal="center"/>
    </xf>
    <xf numFmtId="166" fontId="3" fillId="13" borderId="0" xfId="0" applyNumberFormat="1" applyFont="1" applyFill="1" applyBorder="1"/>
    <xf numFmtId="0" fontId="3" fillId="13" borderId="0" xfId="0" applyFont="1" applyFill="1" applyAlignment="1">
      <alignment horizontal="center"/>
    </xf>
    <xf numFmtId="0" fontId="3" fillId="13" borderId="0" xfId="0" applyFont="1" applyFill="1" applyBorder="1" applyAlignment="1" applyProtection="1">
      <alignment horizontal="center"/>
      <protection locked="0"/>
    </xf>
    <xf numFmtId="0" fontId="3" fillId="13" borderId="1" xfId="0" applyFont="1" applyFill="1" applyBorder="1"/>
    <xf numFmtId="166" fontId="3" fillId="0" borderId="0" xfId="0" applyNumberFormat="1" applyFont="1"/>
    <xf numFmtId="2" fontId="2" fillId="14" borderId="9" xfId="0" applyNumberFormat="1" applyFont="1" applyFill="1" applyBorder="1" applyAlignment="1">
      <alignment horizontal="center"/>
    </xf>
    <xf numFmtId="2" fontId="2" fillId="14" borderId="11" xfId="0" applyNumberFormat="1" applyFont="1" applyFill="1" applyBorder="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123825</xdr:colOff>
      <xdr:row>14</xdr:row>
      <xdr:rowOff>95250</xdr:rowOff>
    </xdr:from>
    <xdr:to>
      <xdr:col>5</xdr:col>
      <xdr:colOff>409575</xdr:colOff>
      <xdr:row>16</xdr:row>
      <xdr:rowOff>9525</xdr:rowOff>
    </xdr:to>
    <xdr:sp macro="" textlink="">
      <xdr:nvSpPr>
        <xdr:cNvPr id="1027" name="Text 3">
          <a:extLst>
            <a:ext uri="{FF2B5EF4-FFF2-40B4-BE49-F238E27FC236}">
              <a16:creationId xmlns:a16="http://schemas.microsoft.com/office/drawing/2014/main" id="{9FACDAAA-B8BE-4165-B677-6D20CD81B475}"/>
            </a:ext>
          </a:extLst>
        </xdr:cNvPr>
        <xdr:cNvSpPr txBox="1">
          <a:spLocks noChangeArrowheads="1"/>
        </xdr:cNvSpPr>
      </xdr:nvSpPr>
      <xdr:spPr bwMode="auto">
        <a:xfrm>
          <a:off x="1638300" y="1971675"/>
          <a:ext cx="1333500" cy="1809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sz="800" b="1" i="0" strike="noStrike">
              <a:solidFill>
                <a:srgbClr val="000000"/>
              </a:solidFill>
              <a:latin typeface="MS Sans Serif"/>
            </a:rPr>
            <a:t>Zero values not shown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A105"/>
  <sheetViews>
    <sheetView showGridLines="0" showZeros="0" tabSelected="1" zoomScaleNormal="100" workbookViewId="0">
      <selection activeCell="C2" sqref="C2"/>
    </sheetView>
  </sheetViews>
  <sheetFormatPr defaultColWidth="6.83203125" defaultRowHeight="11.25" x14ac:dyDescent="0.2"/>
  <cols>
    <col min="1" max="1" width="8.83203125" style="3" customWidth="1"/>
    <col min="2" max="2" width="11.33203125" style="3" customWidth="1"/>
    <col min="3" max="3" width="4.5" style="3" customWidth="1"/>
    <col min="4" max="4" width="1.83203125" style="3" customWidth="1"/>
    <col min="5" max="5" width="18.33203125" style="3" customWidth="1"/>
    <col min="6" max="6" width="9.6640625" style="3" customWidth="1"/>
    <col min="7" max="7" width="1.83203125" style="3" customWidth="1"/>
    <col min="8" max="8" width="13.83203125" style="3" customWidth="1"/>
    <col min="9" max="9" width="1.83203125" style="3" customWidth="1"/>
    <col min="10" max="10" width="14.83203125" style="3" customWidth="1"/>
    <col min="11" max="13" width="11.6640625" style="3" customWidth="1"/>
    <col min="14" max="14" width="13.5" style="24" customWidth="1"/>
    <col min="15" max="22" width="6.83203125" style="3" customWidth="1"/>
    <col min="23" max="23" width="7" style="3" customWidth="1"/>
    <col min="24" max="24" width="7.1640625" style="3" customWidth="1"/>
    <col min="25" max="27" width="6.83203125" style="3" customWidth="1"/>
    <col min="28" max="28" width="7.5" style="3" customWidth="1"/>
    <col min="29" max="29" width="7.33203125" style="3" customWidth="1"/>
    <col min="30" max="31" width="6.83203125" style="3" customWidth="1"/>
    <col min="32" max="32" width="8" style="3" customWidth="1"/>
    <col min="33" max="33" width="6.83203125" style="3" customWidth="1"/>
    <col min="34" max="34" width="7.5" style="3" customWidth="1"/>
    <col min="35" max="35" width="11.5" style="3" customWidth="1"/>
    <col min="36" max="41" width="6.83203125" style="3" customWidth="1"/>
    <col min="42" max="42" width="6.5" style="3" customWidth="1"/>
    <col min="43" max="45" width="6.83203125" style="3" customWidth="1"/>
    <col min="46" max="46" width="10.6640625" style="3" customWidth="1"/>
    <col min="47" max="49" width="7.5" style="3" customWidth="1"/>
    <col min="50" max="50" width="9.6640625" style="3" customWidth="1"/>
    <col min="51" max="51" width="7.5" style="3" customWidth="1"/>
    <col min="52" max="16384" width="6.83203125" style="3"/>
  </cols>
  <sheetData>
    <row r="1" spans="1:52" ht="12" thickBot="1" x14ac:dyDescent="0.25">
      <c r="A1" s="1" t="s">
        <v>175</v>
      </c>
      <c r="B1" s="2"/>
      <c r="F1" s="3" t="s">
        <v>0</v>
      </c>
      <c r="H1" s="4">
        <f ca="1">NOW()</f>
        <v>43811.363755324077</v>
      </c>
      <c r="L1" s="99" t="s">
        <v>1</v>
      </c>
      <c r="M1" s="133"/>
      <c r="N1" s="1" t="s">
        <v>185</v>
      </c>
    </row>
    <row r="2" spans="1:52" x14ac:dyDescent="0.2">
      <c r="A2" s="5" t="s">
        <v>2</v>
      </c>
      <c r="B2" s="6"/>
      <c r="C2" s="7"/>
      <c r="D2" s="7"/>
      <c r="E2" s="8"/>
      <c r="F2" s="8"/>
      <c r="G2" s="8"/>
      <c r="H2" s="8"/>
      <c r="I2" s="8"/>
      <c r="J2" s="8"/>
      <c r="K2" s="8"/>
      <c r="L2" s="8"/>
      <c r="M2" s="144"/>
      <c r="N2" s="3"/>
      <c r="O2" s="9"/>
      <c r="P2" s="9"/>
      <c r="AS2" s="10"/>
      <c r="AT2" s="10"/>
      <c r="AU2" s="11" t="s">
        <v>3</v>
      </c>
      <c r="AV2" s="11"/>
      <c r="AW2" s="11"/>
      <c r="AX2" s="11"/>
      <c r="AY2" s="11"/>
      <c r="AZ2" s="11"/>
    </row>
    <row r="3" spans="1:52" x14ac:dyDescent="0.2">
      <c r="A3" s="141"/>
      <c r="B3" s="147"/>
      <c r="C3" s="131"/>
      <c r="D3" s="140"/>
      <c r="E3" s="148"/>
      <c r="F3" s="148"/>
      <c r="G3" s="148"/>
      <c r="H3" s="148"/>
      <c r="I3" s="148"/>
      <c r="J3" s="148"/>
      <c r="K3" s="148"/>
      <c r="L3" s="148"/>
      <c r="M3" s="142"/>
      <c r="N3" s="13"/>
      <c r="O3" s="9" t="s">
        <v>4</v>
      </c>
      <c r="P3" s="14" t="s">
        <v>5</v>
      </c>
      <c r="Q3" s="11"/>
      <c r="R3" s="11"/>
      <c r="S3" s="11"/>
      <c r="T3" s="11"/>
      <c r="U3" s="11"/>
      <c r="V3" s="11"/>
      <c r="W3" s="11"/>
      <c r="X3" s="11"/>
      <c r="Y3" s="11"/>
      <c r="Z3" s="11"/>
      <c r="AA3" s="11"/>
      <c r="AB3" s="11"/>
      <c r="AC3" s="11"/>
      <c r="AD3" s="11"/>
      <c r="AE3" s="11"/>
      <c r="AF3" s="11"/>
      <c r="AG3" s="11"/>
      <c r="AH3" s="11"/>
      <c r="AI3" s="11" t="s">
        <v>6</v>
      </c>
      <c r="AJ3" s="11"/>
      <c r="AK3" s="11"/>
      <c r="AL3" s="11"/>
      <c r="AM3" s="11"/>
      <c r="AN3" s="11"/>
      <c r="AO3" s="11"/>
      <c r="AP3" s="11"/>
      <c r="AQ3" s="11"/>
      <c r="AR3" s="11"/>
      <c r="AS3" s="9" t="s">
        <v>4</v>
      </c>
      <c r="AU3" s="9" t="s">
        <v>7</v>
      </c>
      <c r="AV3" s="12" t="s">
        <v>8</v>
      </c>
      <c r="AW3" s="9" t="s">
        <v>9</v>
      </c>
      <c r="AX3" s="9" t="s">
        <v>10</v>
      </c>
      <c r="AY3" s="12" t="s">
        <v>11</v>
      </c>
      <c r="AZ3" s="3" t="s">
        <v>12</v>
      </c>
    </row>
    <row r="4" spans="1:52" x14ac:dyDescent="0.2">
      <c r="B4" s="12" t="s">
        <v>13</v>
      </c>
      <c r="C4" s="1"/>
      <c r="D4" s="141"/>
      <c r="E4" s="12" t="s">
        <v>173</v>
      </c>
      <c r="F4" s="12"/>
      <c r="G4" s="142"/>
      <c r="H4" s="12" t="s">
        <v>172</v>
      </c>
      <c r="I4" s="142"/>
      <c r="J4" s="15" t="s">
        <v>14</v>
      </c>
      <c r="K4" s="12" t="s">
        <v>15</v>
      </c>
      <c r="L4" s="12" t="s">
        <v>16</v>
      </c>
      <c r="M4" s="145"/>
      <c r="N4" s="13"/>
      <c r="O4" s="6" t="s">
        <v>17</v>
      </c>
      <c r="P4" s="6">
        <v>1</v>
      </c>
      <c r="Q4" s="6">
        <v>2</v>
      </c>
      <c r="R4" s="6" t="s">
        <v>18</v>
      </c>
      <c r="S4" s="6" t="s">
        <v>19</v>
      </c>
      <c r="T4" s="6" t="s">
        <v>20</v>
      </c>
      <c r="U4" s="6" t="s">
        <v>21</v>
      </c>
      <c r="V4" s="6" t="s">
        <v>22</v>
      </c>
      <c r="W4" s="6" t="s">
        <v>23</v>
      </c>
      <c r="X4" s="6" t="s">
        <v>24</v>
      </c>
      <c r="Y4" s="6" t="s">
        <v>25</v>
      </c>
      <c r="Z4" s="6" t="s">
        <v>26</v>
      </c>
      <c r="AA4" s="6" t="s">
        <v>27</v>
      </c>
      <c r="AB4" s="6" t="s">
        <v>28</v>
      </c>
      <c r="AC4" s="6" t="s">
        <v>29</v>
      </c>
      <c r="AD4" s="17" t="s">
        <v>30</v>
      </c>
      <c r="AE4" s="6" t="s">
        <v>31</v>
      </c>
      <c r="AF4" s="6" t="s">
        <v>32</v>
      </c>
      <c r="AG4" s="6">
        <v>6</v>
      </c>
      <c r="AH4" s="6" t="s">
        <v>33</v>
      </c>
      <c r="AI4" s="11"/>
      <c r="AJ4" s="6" t="s">
        <v>34</v>
      </c>
      <c r="AK4" s="6" t="s">
        <v>35</v>
      </c>
      <c r="AL4" s="6" t="s">
        <v>36</v>
      </c>
      <c r="AM4" s="6" t="s">
        <v>37</v>
      </c>
      <c r="AN4" s="6" t="s">
        <v>38</v>
      </c>
      <c r="AO4" s="6" t="s">
        <v>39</v>
      </c>
      <c r="AP4" s="6" t="s">
        <v>40</v>
      </c>
      <c r="AQ4" s="6" t="s">
        <v>41</v>
      </c>
      <c r="AR4" s="6" t="s">
        <v>42</v>
      </c>
      <c r="AS4" s="6" t="s">
        <v>43</v>
      </c>
      <c r="AT4" s="11"/>
      <c r="AU4" s="6" t="s">
        <v>44</v>
      </c>
      <c r="AV4" s="16" t="s">
        <v>45</v>
      </c>
      <c r="AW4" s="6" t="s">
        <v>46</v>
      </c>
      <c r="AX4" s="6" t="s">
        <v>47</v>
      </c>
      <c r="AY4" s="16" t="s">
        <v>45</v>
      </c>
      <c r="AZ4" s="11" t="s">
        <v>46</v>
      </c>
    </row>
    <row r="5" spans="1:52" x14ac:dyDescent="0.2">
      <c r="A5" s="18"/>
      <c r="B5" s="16" t="s">
        <v>48</v>
      </c>
      <c r="C5" s="5"/>
      <c r="D5" s="141"/>
      <c r="E5" s="16" t="s">
        <v>49</v>
      </c>
      <c r="G5" s="142"/>
      <c r="H5" s="19" t="s">
        <v>48</v>
      </c>
      <c r="I5" s="142"/>
      <c r="J5" s="20" t="s">
        <v>44</v>
      </c>
      <c r="K5" s="16" t="s">
        <v>45</v>
      </c>
      <c r="L5" s="16" t="s">
        <v>45</v>
      </c>
      <c r="M5" s="137"/>
      <c r="N5" s="22" t="s">
        <v>50</v>
      </c>
      <c r="O5" s="21">
        <v>60.084299999999999</v>
      </c>
      <c r="P5" s="3">
        <f t="shared" ref="P5:P25" si="0">H6/O5</f>
        <v>0.99295686844174758</v>
      </c>
      <c r="Q5" s="3">
        <f t="shared" ref="Q5:Y5" si="1">P5</f>
        <v>0.99295686844174758</v>
      </c>
      <c r="R5" s="3">
        <f t="shared" si="1"/>
        <v>0.99295686844174758</v>
      </c>
      <c r="S5" s="3">
        <f t="shared" si="1"/>
        <v>0.99295686844174758</v>
      </c>
      <c r="T5" s="3">
        <f t="shared" si="1"/>
        <v>0.99295686844174758</v>
      </c>
      <c r="U5" s="3">
        <f t="shared" si="1"/>
        <v>0.99295686844174758</v>
      </c>
      <c r="V5" s="3">
        <f t="shared" si="1"/>
        <v>0.99295686844174758</v>
      </c>
      <c r="W5" s="3">
        <f t="shared" si="1"/>
        <v>0.99295686844174758</v>
      </c>
      <c r="X5" s="3">
        <f t="shared" si="1"/>
        <v>0.99295686844174758</v>
      </c>
      <c r="Y5" s="3">
        <f t="shared" si="1"/>
        <v>0.99295686844174758</v>
      </c>
      <c r="Z5" s="23">
        <f>Y5-Y25</f>
        <v>0.99273055197809201</v>
      </c>
      <c r="AA5" s="24">
        <f>Z5</f>
        <v>0.99273055197809201</v>
      </c>
      <c r="AB5" s="3">
        <f>AA5</f>
        <v>0.99273055197809201</v>
      </c>
      <c r="AC5" s="3">
        <f>AB5</f>
        <v>0.99273055197809201</v>
      </c>
      <c r="AD5" s="3">
        <f>AC5</f>
        <v>0.99273055197809201</v>
      </c>
      <c r="AE5" s="3">
        <f>AC5</f>
        <v>0.99273055197809201</v>
      </c>
      <c r="AF5" s="3">
        <f>AE5</f>
        <v>0.99273055197809201</v>
      </c>
      <c r="AG5" s="3">
        <f>AF5</f>
        <v>0.99273055197809201</v>
      </c>
      <c r="AH5" s="3">
        <f>AG5</f>
        <v>0.99273055197809201</v>
      </c>
      <c r="AJ5" s="3">
        <f>AH5-(AJ7)-(AJ8*2)-(AJ12)-(AJ9)-(AJ10*4)-(AJ11*2)-(AJ13)-(AJ14*6)-(AJ15*6)-(AJ16)</f>
        <v>0.231772114790638</v>
      </c>
      <c r="AK5" s="25">
        <f>IF(AJ5&gt;0,AJ5,0)</f>
        <v>0.231772114790638</v>
      </c>
      <c r="AL5" s="3">
        <f>AJ5+AJ13-(AL13+AL17)</f>
        <v>0.231772114790638</v>
      </c>
      <c r="AM5" s="3">
        <f>AL5+AJ12-AM12</f>
        <v>0.231772114790638</v>
      </c>
      <c r="AN5" s="3">
        <f>AM5+(6*AJ14)-(AN14*6)-(AN19*2)</f>
        <v>0.23177211479063797</v>
      </c>
      <c r="AO5" s="3">
        <f>AN5+(AJ15*6)-(AO15*6)-(AO20*4)</f>
        <v>0.23177211479063797</v>
      </c>
      <c r="AP5" s="3">
        <f>AO5+AJ16-AP16-AP21</f>
        <v>0.23177211479063797</v>
      </c>
      <c r="AQ5" s="3">
        <f>AP5+(AJ11*2)+AL17+AP21-AQ21-(AQ11*2)-AQ17</f>
        <v>0.23177211479063797</v>
      </c>
      <c r="AR5" s="3">
        <f>AQ5+(AO20*4)-(AR20*4)-(AR22*2)</f>
        <v>0.23177211479063797</v>
      </c>
      <c r="AS5" s="25">
        <f>AK5</f>
        <v>0.231772114790638</v>
      </c>
      <c r="AT5" s="3" t="s">
        <v>51</v>
      </c>
      <c r="AU5" s="3">
        <f>O5</f>
        <v>60.084299999999999</v>
      </c>
      <c r="AV5" s="3">
        <f>AU5*AS5</f>
        <v>13.925865276715131</v>
      </c>
      <c r="AW5" s="21">
        <v>2.65</v>
      </c>
      <c r="AX5" s="3">
        <f t="shared" ref="AX5:AX37" si="2">AV5/AW5</f>
        <v>5.2550435006472194</v>
      </c>
      <c r="AY5" s="3">
        <f t="shared" ref="AY5:AY37" si="3">AX5*(H$27/AX$38)</f>
        <v>15.159344034361499</v>
      </c>
      <c r="AZ5" s="3">
        <f t="shared" ref="AZ5:AZ37" si="4">(AY5*AW5)/100</f>
        <v>0.4017226169105797</v>
      </c>
    </row>
    <row r="6" spans="1:52" x14ac:dyDescent="0.2">
      <c r="A6" s="26" t="s">
        <v>50</v>
      </c>
      <c r="B6" s="27">
        <v>59.532995831935445</v>
      </c>
      <c r="C6" s="28" t="s">
        <v>52</v>
      </c>
      <c r="D6" s="131"/>
      <c r="E6" s="26" t="s">
        <v>53</v>
      </c>
      <c r="F6" s="29" t="s">
        <v>179</v>
      </c>
      <c r="G6" s="132"/>
      <c r="H6" s="108">
        <f t="shared" ref="H6:H26" si="5">O47*F$12</f>
        <v>59.661118370514494</v>
      </c>
      <c r="I6" s="137"/>
      <c r="J6" s="26" t="s">
        <v>51</v>
      </c>
      <c r="K6" s="111">
        <f>AV5*AV39</f>
        <v>13.936348088657226</v>
      </c>
      <c r="L6" s="105">
        <f>AY5</f>
        <v>15.159344034361499</v>
      </c>
      <c r="M6" s="137"/>
      <c r="N6" s="30" t="s">
        <v>54</v>
      </c>
      <c r="O6" s="21">
        <v>79.898799999999994</v>
      </c>
      <c r="P6" s="3">
        <f t="shared" si="0"/>
        <v>4.1178288591040817E-3</v>
      </c>
      <c r="Q6" s="3">
        <f t="shared" ref="Q6:W8" si="6">P6</f>
        <v>4.1178288591040817E-3</v>
      </c>
      <c r="R6" s="3">
        <f t="shared" si="6"/>
        <v>4.1178288591040817E-3</v>
      </c>
      <c r="S6" s="3">
        <f t="shared" si="6"/>
        <v>4.1178288591040817E-3</v>
      </c>
      <c r="T6" s="3">
        <f t="shared" si="6"/>
        <v>4.1178288591040817E-3</v>
      </c>
      <c r="U6" s="3">
        <f t="shared" si="6"/>
        <v>4.1178288591040817E-3</v>
      </c>
      <c r="V6" s="3">
        <f t="shared" si="6"/>
        <v>4.1178288591040817E-3</v>
      </c>
      <c r="W6" s="3">
        <f t="shared" si="6"/>
        <v>4.1178288591040817E-3</v>
      </c>
      <c r="X6" s="25">
        <f>IF(X26="Ilmenite",W6,IF(X26="Both",W9,0))</f>
        <v>4.1178288591040817E-3</v>
      </c>
      <c r="AI6" s="3" t="s">
        <v>55</v>
      </c>
      <c r="AJ6" s="25">
        <f>Z25</f>
        <v>2.2631646365558352E-4</v>
      </c>
      <c r="AS6" s="25">
        <f>AJ6</f>
        <v>2.2631646365558352E-4</v>
      </c>
      <c r="AT6" s="3" t="s">
        <v>55</v>
      </c>
      <c r="AU6" s="3">
        <f>O5+O25</f>
        <v>183.3031</v>
      </c>
      <c r="AV6" s="3">
        <f t="shared" ref="AV6:AV37" si="7">AU6*AS6</f>
        <v>4.148450936910579E-2</v>
      </c>
      <c r="AW6" s="21">
        <v>4.5599999999999996</v>
      </c>
      <c r="AX6" s="3">
        <f t="shared" si="2"/>
        <v>9.0974801248039014E-3</v>
      </c>
      <c r="AY6" s="3">
        <f t="shared" si="3"/>
        <v>2.6243708742027139E-2</v>
      </c>
      <c r="AZ6" s="3">
        <f t="shared" si="4"/>
        <v>1.1967131186364373E-3</v>
      </c>
    </row>
    <row r="7" spans="1:52" x14ac:dyDescent="0.2">
      <c r="A7" s="31" t="s">
        <v>54</v>
      </c>
      <c r="B7" s="27">
        <v>0.32830303478315265</v>
      </c>
      <c r="C7" s="32" t="s">
        <v>52</v>
      </c>
      <c r="D7" s="131"/>
      <c r="E7" s="33" t="s">
        <v>56</v>
      </c>
      <c r="F7" s="34">
        <v>0.12</v>
      </c>
      <c r="G7" s="134"/>
      <c r="H7" s="109">
        <f t="shared" si="5"/>
        <v>0.32900958444778516</v>
      </c>
      <c r="I7" s="137"/>
      <c r="J7" s="31" t="s">
        <v>57</v>
      </c>
      <c r="K7" s="112">
        <f>(AV8+AV14)*AV39</f>
        <v>57.35203920580836</v>
      </c>
      <c r="L7" s="106">
        <f>AY8+AY14</f>
        <v>61.565741571855725</v>
      </c>
      <c r="M7" s="137"/>
      <c r="N7" s="30" t="s">
        <v>58</v>
      </c>
      <c r="O7" s="21">
        <v>101.96129999999999</v>
      </c>
      <c r="P7" s="3">
        <f t="shared" si="0"/>
        <v>0.15804583598238633</v>
      </c>
      <c r="Q7" s="3">
        <f t="shared" si="6"/>
        <v>0.15804583598238633</v>
      </c>
      <c r="R7" s="3">
        <f t="shared" si="6"/>
        <v>0.15804583598238633</v>
      </c>
      <c r="S7" s="3">
        <f t="shared" si="6"/>
        <v>0.15804583598238633</v>
      </c>
      <c r="T7" s="3">
        <f t="shared" si="6"/>
        <v>0.15804583598238633</v>
      </c>
      <c r="U7" s="3">
        <f t="shared" si="6"/>
        <v>0.15804583598238633</v>
      </c>
      <c r="V7" s="3">
        <f t="shared" si="6"/>
        <v>0.15804583598238633</v>
      </c>
      <c r="W7" s="3">
        <f t="shared" si="6"/>
        <v>0.15804583598238633</v>
      </c>
      <c r="X7" s="3">
        <f t="shared" ref="X7:Z8" si="8">W7</f>
        <v>0.15804583598238633</v>
      </c>
      <c r="Y7" s="3">
        <f t="shared" si="8"/>
        <v>0.15804583598238633</v>
      </c>
      <c r="Z7" s="3">
        <f t="shared" si="8"/>
        <v>0.15804583598238633</v>
      </c>
      <c r="AA7" s="23">
        <f>Z7-AA14</f>
        <v>0.15561687613782108</v>
      </c>
      <c r="AB7" s="23">
        <f>IF(AND(AA7&gt;=AA13,AA7&gt;0),AA7-AA13,0)</f>
        <v>9.8700757328703509E-2</v>
      </c>
      <c r="AC7" s="25">
        <f>IF(AC26="Anorthite",IF(AB12&gt;AB7,0,AB7-AB12),AB7)</f>
        <v>0</v>
      </c>
      <c r="AI7" s="3" t="s">
        <v>59</v>
      </c>
      <c r="AJ7" s="25">
        <f>AA15</f>
        <v>0</v>
      </c>
      <c r="AS7" s="25">
        <f>AJ7</f>
        <v>0</v>
      </c>
      <c r="AT7" s="3" t="s">
        <v>59</v>
      </c>
      <c r="AU7" s="3">
        <f>O14+O5</f>
        <v>154.28030000000001</v>
      </c>
      <c r="AV7" s="3">
        <f t="shared" si="7"/>
        <v>0</v>
      </c>
      <c r="AW7" s="21">
        <v>2.5</v>
      </c>
      <c r="AX7" s="3">
        <f t="shared" si="2"/>
        <v>0</v>
      </c>
      <c r="AY7" s="3">
        <f t="shared" si="3"/>
        <v>0</v>
      </c>
      <c r="AZ7" s="3">
        <f t="shared" si="4"/>
        <v>0</v>
      </c>
    </row>
    <row r="8" spans="1:52" x14ac:dyDescent="0.2">
      <c r="A8" s="31" t="s">
        <v>58</v>
      </c>
      <c r="B8" s="27">
        <v>16.079952803634686</v>
      </c>
      <c r="C8" s="32" t="s">
        <v>52</v>
      </c>
      <c r="D8" s="131"/>
      <c r="E8" s="149"/>
      <c r="F8" s="149"/>
      <c r="G8" s="131"/>
      <c r="H8" s="109">
        <f t="shared" si="5"/>
        <v>16.114558896350886</v>
      </c>
      <c r="I8" s="137"/>
      <c r="J8" s="103" t="s">
        <v>183</v>
      </c>
      <c r="K8" s="113">
        <f>AV14*AV39</f>
        <v>29.871900254508265</v>
      </c>
      <c r="L8" s="114">
        <f>AY14*AV39</f>
        <v>32.890134758884003</v>
      </c>
      <c r="M8" s="137"/>
      <c r="N8" s="30" t="s">
        <v>61</v>
      </c>
      <c r="O8" s="21">
        <v>159.69220000000001</v>
      </c>
      <c r="P8" s="3">
        <f t="shared" si="0"/>
        <v>7.235083423990674E-3</v>
      </c>
      <c r="Q8" s="3">
        <f t="shared" si="6"/>
        <v>7.235083423990674E-3</v>
      </c>
      <c r="R8" s="3">
        <f t="shared" si="6"/>
        <v>7.235083423990674E-3</v>
      </c>
      <c r="S8" s="3">
        <f t="shared" si="6"/>
        <v>7.235083423990674E-3</v>
      </c>
      <c r="T8" s="3">
        <f t="shared" si="6"/>
        <v>7.235083423990674E-3</v>
      </c>
      <c r="U8" s="3">
        <f t="shared" si="6"/>
        <v>7.235083423990674E-3</v>
      </c>
      <c r="V8" s="3">
        <f t="shared" si="6"/>
        <v>7.235083423990674E-3</v>
      </c>
      <c r="W8" s="3">
        <f t="shared" si="6"/>
        <v>7.235083423990674E-3</v>
      </c>
      <c r="X8" s="3">
        <f t="shared" si="8"/>
        <v>7.235083423990674E-3</v>
      </c>
      <c r="Y8" s="3">
        <f t="shared" si="8"/>
        <v>7.235083423990674E-3</v>
      </c>
      <c r="Z8" s="3">
        <f t="shared" si="8"/>
        <v>7.235083423990674E-3</v>
      </c>
      <c r="AA8" s="3">
        <f t="shared" ref="AA8:AD9" si="9">Z8</f>
        <v>7.235083423990674E-3</v>
      </c>
      <c r="AB8" s="3">
        <f t="shared" si="9"/>
        <v>7.235083423990674E-3</v>
      </c>
      <c r="AC8" s="3">
        <f t="shared" si="9"/>
        <v>7.235083423990674E-3</v>
      </c>
      <c r="AD8" s="3">
        <f t="shared" si="9"/>
        <v>7.235083423990674E-3</v>
      </c>
      <c r="AE8" s="23">
        <f>AD8-AE19</f>
        <v>7.235083423990674E-3</v>
      </c>
      <c r="AF8" s="25">
        <f>IF(AF26="Magnetite",AE8,IF(AF26="Both",AE9,0))</f>
        <v>7.235083423990674E-3</v>
      </c>
      <c r="AI8" s="3" t="s">
        <v>62</v>
      </c>
      <c r="AJ8" s="25">
        <f>AC21</f>
        <v>9.8700757328703509E-2</v>
      </c>
      <c r="AS8" s="25">
        <f>AJ8</f>
        <v>9.8700757328703509E-2</v>
      </c>
      <c r="AT8" s="3" t="s">
        <v>62</v>
      </c>
      <c r="AU8" s="3">
        <f>O12+O7+(O5*2)</f>
        <v>278.20929999999998</v>
      </c>
      <c r="AV8" s="3">
        <f t="shared" si="7"/>
        <v>27.459468605888471</v>
      </c>
      <c r="AW8" s="21">
        <v>2.76</v>
      </c>
      <c r="AX8" s="3">
        <f t="shared" si="2"/>
        <v>9.9490828282204617</v>
      </c>
      <c r="AY8" s="3">
        <f t="shared" si="3"/>
        <v>28.700346514881726</v>
      </c>
      <c r="AZ8" s="3">
        <f t="shared" si="4"/>
        <v>0.79212956381073552</v>
      </c>
    </row>
    <row r="9" spans="1:52" s="10" customFormat="1" x14ac:dyDescent="0.2">
      <c r="A9" s="31" t="s">
        <v>61</v>
      </c>
      <c r="B9" s="27">
        <v>1.3404836774498043</v>
      </c>
      <c r="C9" s="32" t="s">
        <v>52</v>
      </c>
      <c r="D9" s="131"/>
      <c r="E9" s="35" t="s">
        <v>63</v>
      </c>
      <c r="F9" s="105">
        <f>(B9/1.11134)+B10</f>
        <v>8.6450080633458022</v>
      </c>
      <c r="G9" s="137"/>
      <c r="H9" s="109">
        <f t="shared" si="5"/>
        <v>1.1553863891606035</v>
      </c>
      <c r="I9" s="137"/>
      <c r="J9" s="103" t="s">
        <v>184</v>
      </c>
      <c r="K9" s="115">
        <f>AV8*AV39</f>
        <v>27.480138951300091</v>
      </c>
      <c r="L9" s="114">
        <f>AY8*AV39</f>
        <v>28.721950941551825</v>
      </c>
      <c r="M9" s="137"/>
      <c r="N9" s="30" t="s">
        <v>65</v>
      </c>
      <c r="O9" s="36">
        <v>71.846400000000003</v>
      </c>
      <c r="P9" s="10">
        <f t="shared" si="0"/>
        <v>0.10611498458734857</v>
      </c>
      <c r="Q9" s="10">
        <f>P9+P10+P23</f>
        <v>0.10840787074831996</v>
      </c>
      <c r="R9" s="10">
        <f>Q9</f>
        <v>0.10840787074831996</v>
      </c>
      <c r="S9" s="10">
        <f>R9</f>
        <v>0.10840787074831996</v>
      </c>
      <c r="T9" s="10">
        <f>S9</f>
        <v>0.10840787074831996</v>
      </c>
      <c r="U9" s="10">
        <f>T9</f>
        <v>0.10840787074831996</v>
      </c>
      <c r="V9" s="37">
        <f>IF(U9&gt;=(U18*0.5),U9-(U18*0.5),0)</f>
        <v>0.10809528430836036</v>
      </c>
      <c r="W9" s="37">
        <f>IF(V9&gt;=W24,V9-W24,0)</f>
        <v>0.10798735161398332</v>
      </c>
      <c r="X9" s="37">
        <f>W9-X6</f>
        <v>0.10386952275487923</v>
      </c>
      <c r="Y9" s="10">
        <f t="shared" ref="Y9:Z11" si="10">X9</f>
        <v>0.10386952275487923</v>
      </c>
      <c r="Z9" s="10">
        <f t="shared" si="10"/>
        <v>0.10386952275487923</v>
      </c>
      <c r="AA9" s="10">
        <f t="shared" si="9"/>
        <v>0.10386952275487923</v>
      </c>
      <c r="AB9" s="10">
        <f t="shared" si="9"/>
        <v>0.10386952275487923</v>
      </c>
      <c r="AC9" s="10">
        <f t="shared" si="9"/>
        <v>0.10386952275487923</v>
      </c>
      <c r="AD9" s="10">
        <f t="shared" si="9"/>
        <v>0.10386952275487923</v>
      </c>
      <c r="AE9" s="10">
        <f t="shared" ref="AE9:AE14" si="11">AD9</f>
        <v>0.10386952275487923</v>
      </c>
      <c r="AF9" s="37">
        <f>AE9-AF8</f>
        <v>9.6634439330888555E-2</v>
      </c>
      <c r="AG9" s="37">
        <f>AF9+AF11</f>
        <v>0.18859651372519459</v>
      </c>
      <c r="AH9" s="38">
        <f>AG9-AH12</f>
        <v>0.16970657684243914</v>
      </c>
      <c r="AI9" s="10" t="s">
        <v>66</v>
      </c>
      <c r="AJ9" s="39">
        <f>AE20</f>
        <v>0</v>
      </c>
      <c r="AS9" s="39">
        <f>AJ9</f>
        <v>0</v>
      </c>
      <c r="AT9" s="10" t="s">
        <v>66</v>
      </c>
      <c r="AU9" s="10">
        <f>O13+O5</f>
        <v>122.06319999999999</v>
      </c>
      <c r="AV9" s="10">
        <f t="shared" si="7"/>
        <v>0</v>
      </c>
      <c r="AW9" s="36">
        <v>2.4</v>
      </c>
      <c r="AX9" s="3">
        <f t="shared" si="2"/>
        <v>0</v>
      </c>
      <c r="AY9" s="3">
        <f t="shared" si="3"/>
        <v>0</v>
      </c>
      <c r="AZ9" s="3">
        <f t="shared" si="4"/>
        <v>0</v>
      </c>
    </row>
    <row r="10" spans="1:52" x14ac:dyDescent="0.2">
      <c r="A10" s="31" t="s">
        <v>65</v>
      </c>
      <c r="B10" s="27">
        <v>7.4388212281290338</v>
      </c>
      <c r="C10" s="32" t="s">
        <v>52</v>
      </c>
      <c r="D10" s="133"/>
      <c r="E10" s="40" t="s">
        <v>67</v>
      </c>
      <c r="F10" s="106">
        <f>IF(F7&gt;0.00001,F9*F7*1.11134,B9)</f>
        <v>1.1529051913342467</v>
      </c>
      <c r="G10" s="137"/>
      <c r="H10" s="109">
        <f t="shared" si="5"/>
        <v>7.6239796286564809</v>
      </c>
      <c r="I10" s="143"/>
      <c r="J10" s="31" t="s">
        <v>60</v>
      </c>
      <c r="K10" s="112">
        <f>AV15*AV39</f>
        <v>1.3531301307435997</v>
      </c>
      <c r="L10" s="106">
        <f>AY15</f>
        <v>1.5236208158380884</v>
      </c>
      <c r="M10" s="137"/>
      <c r="N10" s="30" t="s">
        <v>69</v>
      </c>
      <c r="O10" s="21">
        <v>70.937399999999997</v>
      </c>
      <c r="P10" s="3">
        <f t="shared" si="0"/>
        <v>2.029965185302495E-3</v>
      </c>
      <c r="X10" s="41">
        <f>IF(X26="Sphene",W6,IF(X26="Both",W6-X6,0))</f>
        <v>0</v>
      </c>
      <c r="Y10" s="41">
        <f t="shared" si="10"/>
        <v>0</v>
      </c>
      <c r="Z10" s="41">
        <f t="shared" si="10"/>
        <v>0</v>
      </c>
      <c r="AA10" s="41">
        <f t="shared" ref="AA10:AC11" si="12">Z10</f>
        <v>0</v>
      </c>
      <c r="AB10" s="41">
        <f t="shared" si="12"/>
        <v>0</v>
      </c>
      <c r="AC10" s="41">
        <f t="shared" si="12"/>
        <v>0</v>
      </c>
      <c r="AD10" s="41">
        <f>IF(AD26="Sphene",AC10,IF(AD26="Both",AC12,0))</f>
        <v>0</v>
      </c>
      <c r="AE10" s="41">
        <f t="shared" si="11"/>
        <v>0</v>
      </c>
      <c r="AF10" s="41">
        <f>AE10</f>
        <v>0</v>
      </c>
      <c r="AG10" s="41">
        <f>AF10</f>
        <v>0</v>
      </c>
      <c r="AH10" s="41">
        <f>AG10</f>
        <v>0</v>
      </c>
      <c r="AI10" s="3" t="s">
        <v>182</v>
      </c>
      <c r="AJ10" s="25">
        <f>AE19</f>
        <v>0</v>
      </c>
      <c r="AS10" s="25">
        <f>AJ10</f>
        <v>0</v>
      </c>
      <c r="AT10" s="3" t="s">
        <v>182</v>
      </c>
      <c r="AU10" s="3">
        <f>O13+O8+(O5*4)</f>
        <v>462.00830000000002</v>
      </c>
      <c r="AV10" s="3">
        <f t="shared" si="7"/>
        <v>0</v>
      </c>
      <c r="AW10" s="21">
        <v>3.6</v>
      </c>
      <c r="AX10" s="3">
        <f t="shared" si="2"/>
        <v>0</v>
      </c>
      <c r="AY10" s="3">
        <f t="shared" si="3"/>
        <v>0</v>
      </c>
      <c r="AZ10" s="3">
        <f t="shared" si="4"/>
        <v>0</v>
      </c>
    </row>
    <row r="11" spans="1:52" x14ac:dyDescent="0.2">
      <c r="A11" s="31" t="s">
        <v>69</v>
      </c>
      <c r="B11" s="27">
        <v>0.14369121067206486</v>
      </c>
      <c r="C11" s="32" t="s">
        <v>52</v>
      </c>
      <c r="D11" s="131"/>
      <c r="E11" s="40" t="s">
        <v>70</v>
      </c>
      <c r="F11" s="106">
        <f>IF(F7&gt;0.00001,F9*(1-F7),B10)</f>
        <v>7.6076070957443056</v>
      </c>
      <c r="G11" s="137"/>
      <c r="H11" s="109">
        <f t="shared" si="5"/>
        <v>0.14400045233587722</v>
      </c>
      <c r="I11" s="137"/>
      <c r="J11" s="31" t="s">
        <v>64</v>
      </c>
      <c r="K11" s="112">
        <f>AV19*AV39</f>
        <v>0</v>
      </c>
      <c r="L11" s="106">
        <f>AY19</f>
        <v>0</v>
      </c>
      <c r="M11" s="137"/>
      <c r="N11" s="30" t="s">
        <v>72</v>
      </c>
      <c r="O11" s="21">
        <v>40.304400000000001</v>
      </c>
      <c r="P11" s="3">
        <f t="shared" si="0"/>
        <v>9.1962074394306037E-2</v>
      </c>
      <c r="Q11" s="3">
        <f t="shared" ref="Q11:V11" si="13">P11</f>
        <v>9.1962074394306037E-2</v>
      </c>
      <c r="R11" s="3">
        <f t="shared" si="13"/>
        <v>9.1962074394306037E-2</v>
      </c>
      <c r="S11" s="3">
        <f t="shared" si="13"/>
        <v>9.1962074394306037E-2</v>
      </c>
      <c r="T11" s="3">
        <f t="shared" si="13"/>
        <v>9.1962074394306037E-2</v>
      </c>
      <c r="U11" s="3">
        <f t="shared" si="13"/>
        <v>9.1962074394306037E-2</v>
      </c>
      <c r="V11" s="3">
        <f t="shared" si="13"/>
        <v>9.1962074394306037E-2</v>
      </c>
      <c r="W11" s="23">
        <f>V11-W23</f>
        <v>9.1962074394306037E-2</v>
      </c>
      <c r="X11" s="3">
        <f>W11</f>
        <v>9.1962074394306037E-2</v>
      </c>
      <c r="Y11" s="3">
        <f t="shared" si="10"/>
        <v>9.1962074394306037E-2</v>
      </c>
      <c r="Z11" s="3">
        <f t="shared" si="10"/>
        <v>9.1962074394306037E-2</v>
      </c>
      <c r="AA11" s="3">
        <f t="shared" si="12"/>
        <v>9.1962074394306037E-2</v>
      </c>
      <c r="AB11" s="3">
        <f t="shared" si="12"/>
        <v>9.1962074394306037E-2</v>
      </c>
      <c r="AC11" s="3">
        <f t="shared" si="12"/>
        <v>9.1962074394306037E-2</v>
      </c>
      <c r="AD11" s="3">
        <f>AC11</f>
        <v>9.1962074394306037E-2</v>
      </c>
      <c r="AE11" s="3">
        <f t="shared" si="11"/>
        <v>9.1962074394306037E-2</v>
      </c>
      <c r="AF11" s="3">
        <f>AE11</f>
        <v>9.1962074394306037E-2</v>
      </c>
      <c r="AG11" s="23">
        <v>0</v>
      </c>
      <c r="AI11" s="3" t="s">
        <v>73</v>
      </c>
      <c r="AJ11" s="41">
        <f>AH12</f>
        <v>1.8889936882755448E-2</v>
      </c>
      <c r="AQ11" s="25">
        <f>IF(AQ26="Diopside",AJ11,IF(AQ26="Both",AJ11+AP5,0))</f>
        <v>1.8889936882755448E-2</v>
      </c>
      <c r="AS11" s="25">
        <f>AQ11</f>
        <v>1.8889936882755448E-2</v>
      </c>
      <c r="AT11" s="3" t="s">
        <v>73</v>
      </c>
      <c r="AU11" s="3">
        <f>O12+AG31+(2*O5)</f>
        <v>232.71411701782472</v>
      </c>
      <c r="AV11" s="3">
        <f t="shared" si="7"/>
        <v>4.3959549821928743</v>
      </c>
      <c r="AW11" s="42">
        <f>(AG$30*3.22)+((1-AG$30)*3.56)</f>
        <v>3.3942116475195103</v>
      </c>
      <c r="AX11" s="3">
        <f t="shared" si="2"/>
        <v>1.2951328434116469</v>
      </c>
      <c r="AY11" s="3">
        <f t="shared" si="3"/>
        <v>3.7360992998554474</v>
      </c>
      <c r="AZ11" s="3">
        <f t="shared" si="4"/>
        <v>0.12681111759858849</v>
      </c>
    </row>
    <row r="12" spans="1:52" x14ac:dyDescent="0.2">
      <c r="A12" s="31" t="s">
        <v>72</v>
      </c>
      <c r="B12" s="27">
        <v>3.6985165556888684</v>
      </c>
      <c r="C12" s="32" t="s">
        <v>52</v>
      </c>
      <c r="D12" s="131"/>
      <c r="E12" s="18" t="s">
        <v>74</v>
      </c>
      <c r="F12" s="107">
        <f>IF(OR(F6="Y",F6="y"),100/O68,1)</f>
        <v>1.0021521265104942</v>
      </c>
      <c r="G12" s="138"/>
      <c r="H12" s="109">
        <f t="shared" si="5"/>
        <v>3.7064762312178683</v>
      </c>
      <c r="I12" s="137"/>
      <c r="J12" s="31" t="s">
        <v>68</v>
      </c>
      <c r="K12" s="112">
        <f>AV20*AV39</f>
        <v>0</v>
      </c>
      <c r="L12" s="106">
        <f>AY20</f>
        <v>0</v>
      </c>
      <c r="M12" s="137"/>
      <c r="N12" s="30" t="s">
        <v>76</v>
      </c>
      <c r="O12" s="21">
        <v>56.0794</v>
      </c>
      <c r="P12" s="3">
        <f t="shared" si="0"/>
        <v>0.1236255293840486</v>
      </c>
      <c r="Q12" s="3">
        <f>P12+P21</f>
        <v>0.12409103188014135</v>
      </c>
      <c r="R12" s="23">
        <f>IF(Q12&gt;=(3.333*Q15),Q12-(3.333*Q15),0)</f>
        <v>0.12234183171846685</v>
      </c>
      <c r="S12" s="3">
        <f>R12</f>
        <v>0.12234183171846685</v>
      </c>
      <c r="T12" s="23">
        <f>IF(S12&gt;=(S19/2),S12-(S19/2),0)</f>
        <v>0.12146178341220025</v>
      </c>
      <c r="U12" s="23">
        <f>T12-U17</f>
        <v>0.12146178341220025</v>
      </c>
      <c r="V12" s="3">
        <f t="shared" ref="V12:W14" si="14">U12</f>
        <v>0.12146178341220025</v>
      </c>
      <c r="W12" s="3">
        <f t="shared" si="14"/>
        <v>0.12146178341220025</v>
      </c>
      <c r="X12" s="23">
        <f>W12</f>
        <v>0.12146178341220025</v>
      </c>
      <c r="Y12" s="23">
        <f>X12-Y16</f>
        <v>0.11759069421145896</v>
      </c>
      <c r="Z12" s="3">
        <f>Y12</f>
        <v>0.11759069421145896</v>
      </c>
      <c r="AA12" s="3">
        <f>Z12</f>
        <v>0.11759069421145896</v>
      </c>
      <c r="AB12" s="3">
        <f>AA12</f>
        <v>0.11759069421145896</v>
      </c>
      <c r="AC12" s="23">
        <f>IF(AC26="Anorthite",IF(AB7&gt;AB12,0,AB12-AB7),AB12)</f>
        <v>1.8889936882755448E-2</v>
      </c>
      <c r="AD12" s="23">
        <f>AC12-AD10</f>
        <v>1.8889936882755448E-2</v>
      </c>
      <c r="AE12" s="3">
        <f t="shared" si="11"/>
        <v>1.8889936882755448E-2</v>
      </c>
      <c r="AF12" s="3">
        <f>AE12</f>
        <v>1.8889936882755448E-2</v>
      </c>
      <c r="AG12" s="3">
        <f>AF12</f>
        <v>1.8889936882755448E-2</v>
      </c>
      <c r="AH12" s="41">
        <f>IF(AH26="Diopside",AG12,IF(AH26="Both",AG9,0))</f>
        <v>1.8889936882755448E-2</v>
      </c>
      <c r="AI12" s="3" t="s">
        <v>77</v>
      </c>
      <c r="AJ12" s="41">
        <f>AD10</f>
        <v>0</v>
      </c>
      <c r="AM12" s="25">
        <f>IF(AM26="Sphene",AJ12,IF(AM26="Both",AJ12+AL5,0))</f>
        <v>0</v>
      </c>
      <c r="AS12" s="25">
        <f>AM12</f>
        <v>0</v>
      </c>
      <c r="AT12" s="3" t="s">
        <v>176</v>
      </c>
      <c r="AU12" s="3">
        <f>O12+O6+O5</f>
        <v>196.0625</v>
      </c>
      <c r="AV12" s="3">
        <f t="shared" si="7"/>
        <v>0</v>
      </c>
      <c r="AW12" s="21">
        <v>3.5</v>
      </c>
      <c r="AX12" s="3">
        <f t="shared" si="2"/>
        <v>0</v>
      </c>
      <c r="AY12" s="3">
        <f t="shared" si="3"/>
        <v>0</v>
      </c>
      <c r="AZ12" s="3">
        <f t="shared" si="4"/>
        <v>0</v>
      </c>
    </row>
    <row r="13" spans="1:52" x14ac:dyDescent="0.2">
      <c r="A13" s="31" t="s">
        <v>76</v>
      </c>
      <c r="B13" s="27">
        <v>6.9179571934652939</v>
      </c>
      <c r="C13" s="32" t="s">
        <v>52</v>
      </c>
      <c r="D13" s="131"/>
      <c r="E13" s="131"/>
      <c r="F13" s="131"/>
      <c r="G13" s="137"/>
      <c r="H13" s="109">
        <f t="shared" si="5"/>
        <v>6.9328455125398145</v>
      </c>
      <c r="I13" s="137"/>
      <c r="J13" s="31" t="s">
        <v>71</v>
      </c>
      <c r="K13" s="112">
        <f>AV22*AV39</f>
        <v>0</v>
      </c>
      <c r="L13" s="106">
        <f>AY22</f>
        <v>0</v>
      </c>
      <c r="M13" s="137"/>
      <c r="N13" s="30" t="s">
        <v>78</v>
      </c>
      <c r="O13" s="21">
        <v>61.978900000000003</v>
      </c>
      <c r="P13" s="3">
        <f t="shared" si="0"/>
        <v>5.7824679167029928E-2</v>
      </c>
      <c r="Q13" s="3">
        <f>P13</f>
        <v>5.7824679167029928E-2</v>
      </c>
      <c r="R13" s="3">
        <f>Q13</f>
        <v>5.7824679167029928E-2</v>
      </c>
      <c r="S13" s="23">
        <f>IF(R13&gt;R20,R13-R20,0)</f>
        <v>5.754200855339766E-2</v>
      </c>
      <c r="T13" s="3">
        <f>S13</f>
        <v>5.754200855339766E-2</v>
      </c>
      <c r="U13" s="23">
        <f>T13-U21</f>
        <v>5.6916118809117566E-2</v>
      </c>
      <c r="V13" s="3">
        <f t="shared" si="14"/>
        <v>5.6916118809117566E-2</v>
      </c>
      <c r="W13" s="3">
        <f t="shared" si="14"/>
        <v>5.6916118809117566E-2</v>
      </c>
      <c r="X13" s="3">
        <f>W13</f>
        <v>5.6916118809117566E-2</v>
      </c>
      <c r="Y13" s="23">
        <f>IF(Y17&gt;X13,0,X13-Y17)</f>
        <v>5.6916118809117566E-2</v>
      </c>
      <c r="Z13" s="3">
        <f>Y13</f>
        <v>5.6916118809117566E-2</v>
      </c>
      <c r="AA13" s="3">
        <f>Z13</f>
        <v>5.6916118809117566E-2</v>
      </c>
      <c r="AB13" s="41">
        <f>IF(AB26="Albite",AA13,IF(AB26="Both",AA7,0))</f>
        <v>5.6916118809117566E-2</v>
      </c>
      <c r="AC13" s="41">
        <f>AB13</f>
        <v>5.6916118809117566E-2</v>
      </c>
      <c r="AD13" s="41">
        <f>AC13</f>
        <v>5.6916118809117566E-2</v>
      </c>
      <c r="AE13" s="41">
        <f t="shared" si="11"/>
        <v>5.6916118809117566E-2</v>
      </c>
      <c r="AF13" s="41">
        <f>AE13</f>
        <v>5.6916118809117566E-2</v>
      </c>
      <c r="AG13" s="41">
        <f>AF13</f>
        <v>5.6916118809117566E-2</v>
      </c>
      <c r="AH13" s="41">
        <f>AG13</f>
        <v>5.6916118809117566E-2</v>
      </c>
      <c r="AI13" s="3" t="s">
        <v>79</v>
      </c>
      <c r="AJ13" s="41">
        <f>AH9</f>
        <v>0.16970657684243914</v>
      </c>
      <c r="AL13" s="25">
        <f>IF(AL26="Hypersthene",AJ13,IF(AL26="Both",AJ13+(2*AJ5),0))</f>
        <v>0.16970657684243914</v>
      </c>
      <c r="AS13" s="25">
        <f>AL13</f>
        <v>0.16970657684243914</v>
      </c>
      <c r="AT13" s="3" t="s">
        <v>79</v>
      </c>
      <c r="AU13" s="3">
        <f>AG31+O5</f>
        <v>116.55041701782471</v>
      </c>
      <c r="AV13" s="3">
        <f t="shared" si="7"/>
        <v>19.779372301653797</v>
      </c>
      <c r="AW13" s="42">
        <f>(AG$30*3.21)+((1-AG$30)*3.96)</f>
        <v>3.5942903989400969</v>
      </c>
      <c r="AX13" s="3">
        <f t="shared" si="2"/>
        <v>5.5029978399871204</v>
      </c>
      <c r="AY13" s="3">
        <f t="shared" si="3"/>
        <v>15.874623581410621</v>
      </c>
      <c r="AZ13" s="3">
        <f t="shared" si="4"/>
        <v>0.57058007125452248</v>
      </c>
    </row>
    <row r="14" spans="1:52" x14ac:dyDescent="0.2">
      <c r="A14" s="31" t="s">
        <v>78</v>
      </c>
      <c r="B14" s="27">
        <v>3.5762135436509515</v>
      </c>
      <c r="C14" s="32" t="s">
        <v>52</v>
      </c>
      <c r="D14" s="131"/>
      <c r="E14" s="137"/>
      <c r="F14" s="137"/>
      <c r="G14" s="137"/>
      <c r="H14" s="109">
        <f t="shared" si="5"/>
        <v>3.5839100076254313</v>
      </c>
      <c r="I14" s="137"/>
      <c r="J14" s="31" t="s">
        <v>75</v>
      </c>
      <c r="K14" s="112">
        <f>AV34*AV39</f>
        <v>0</v>
      </c>
      <c r="L14" s="106">
        <f>AY34</f>
        <v>0</v>
      </c>
      <c r="M14" s="137"/>
      <c r="N14" s="30" t="s">
        <v>80</v>
      </c>
      <c r="O14" s="21">
        <v>94.195999999999998</v>
      </c>
      <c r="P14" s="3">
        <f t="shared" si="0"/>
        <v>1.7080140937053567E-3</v>
      </c>
      <c r="Q14" s="3">
        <f>P14+P22</f>
        <v>2.4289598445652555E-3</v>
      </c>
      <c r="R14" s="3">
        <f>Q14</f>
        <v>2.4289598445652555E-3</v>
      </c>
      <c r="S14" s="3">
        <f>R14</f>
        <v>2.4289598445652555E-3</v>
      </c>
      <c r="T14" s="3">
        <f>S14</f>
        <v>2.4289598445652555E-3</v>
      </c>
      <c r="U14" s="3">
        <f>T14</f>
        <v>2.4289598445652555E-3</v>
      </c>
      <c r="V14" s="3">
        <f t="shared" si="14"/>
        <v>2.4289598445652555E-3</v>
      </c>
      <c r="W14" s="3">
        <f t="shared" si="14"/>
        <v>2.4289598445652555E-3</v>
      </c>
      <c r="X14" s="3">
        <f>W14</f>
        <v>2.4289598445652555E-3</v>
      </c>
      <c r="Y14" s="3">
        <f>X14</f>
        <v>2.4289598445652555E-3</v>
      </c>
      <c r="Z14" s="3">
        <f>Y14</f>
        <v>2.4289598445652555E-3</v>
      </c>
      <c r="AA14" s="41">
        <f>IF(AA26="Orthoclase",Z14,IF(AA26="Both",Z7,0))</f>
        <v>2.4289598445652555E-3</v>
      </c>
      <c r="AB14" s="41">
        <f>AA14</f>
        <v>2.4289598445652555E-3</v>
      </c>
      <c r="AC14" s="41">
        <f>AB14</f>
        <v>2.4289598445652555E-3</v>
      </c>
      <c r="AD14" s="41">
        <f>AC14</f>
        <v>2.4289598445652555E-3</v>
      </c>
      <c r="AE14" s="41">
        <f t="shared" si="11"/>
        <v>2.4289598445652555E-3</v>
      </c>
      <c r="AF14" s="41">
        <f>AE14</f>
        <v>2.4289598445652555E-3</v>
      </c>
      <c r="AG14" s="41">
        <f>AF14</f>
        <v>2.4289598445652555E-3</v>
      </c>
      <c r="AH14" s="41">
        <f>AG14</f>
        <v>2.4289598445652555E-3</v>
      </c>
      <c r="AI14" s="3" t="s">
        <v>81</v>
      </c>
      <c r="AJ14" s="41">
        <f>AH13</f>
        <v>5.6916118809117566E-2</v>
      </c>
      <c r="AN14" s="25">
        <f>IF(AN26="Albite",AJ14,IF(AN26="Both",AJ14+(AM5/4),0))</f>
        <v>5.6916118809117566E-2</v>
      </c>
      <c r="AS14" s="25">
        <f>AN14</f>
        <v>5.6916118809117566E-2</v>
      </c>
      <c r="AT14" s="3" t="s">
        <v>81</v>
      </c>
      <c r="AU14" s="3">
        <f>O13+O7+(O5*6)</f>
        <v>524.44600000000003</v>
      </c>
      <c r="AV14" s="3">
        <f t="shared" si="7"/>
        <v>29.849430844966474</v>
      </c>
      <c r="AW14" s="43">
        <v>2.62</v>
      </c>
      <c r="AX14" s="3">
        <f t="shared" si="2"/>
        <v>11.392912536246746</v>
      </c>
      <c r="AY14" s="3">
        <f t="shared" si="3"/>
        <v>32.865395056973995</v>
      </c>
      <c r="AZ14" s="3">
        <f t="shared" si="4"/>
        <v>0.86107335049271871</v>
      </c>
    </row>
    <row r="15" spans="1:52" x14ac:dyDescent="0.2">
      <c r="A15" s="31" t="s">
        <v>80</v>
      </c>
      <c r="B15" s="27">
        <v>0.16054258761180706</v>
      </c>
      <c r="C15" s="32" t="s">
        <v>52</v>
      </c>
      <c r="D15" s="131"/>
      <c r="E15" s="137"/>
      <c r="F15" s="137"/>
      <c r="G15" s="137"/>
      <c r="H15" s="109">
        <f t="shared" si="5"/>
        <v>0.16088809557066977</v>
      </c>
      <c r="I15" s="137"/>
      <c r="J15" s="31" t="s">
        <v>73</v>
      </c>
      <c r="K15" s="112">
        <f>AV11*AV39</f>
        <v>4.3992640741931606</v>
      </c>
      <c r="L15" s="106">
        <f>AY11</f>
        <v>3.7360992998554474</v>
      </c>
      <c r="M15" s="137"/>
      <c r="N15" s="30" t="s">
        <v>83</v>
      </c>
      <c r="O15" s="21">
        <v>141.94450000000001</v>
      </c>
      <c r="P15" s="3">
        <f t="shared" si="0"/>
        <v>5.2481252975532721E-4</v>
      </c>
      <c r="Q15" s="3">
        <f t="shared" ref="Q15:Q20" si="15">P15</f>
        <v>5.2481252975532721E-4</v>
      </c>
      <c r="R15" s="25">
        <f>Q15/1.5</f>
        <v>3.4987501983688483E-4</v>
      </c>
      <c r="AA15" s="25">
        <f>IF(AA26="K2SiO3",Z14,IF(AA26="Both",Z14-Z7,0))</f>
        <v>0</v>
      </c>
      <c r="AI15" s="3" t="s">
        <v>60</v>
      </c>
      <c r="AJ15" s="41">
        <f>AH14</f>
        <v>2.4289598445652555E-3</v>
      </c>
      <c r="AO15" s="25">
        <f>IF(AO26="Orthoclase",AJ15,IF(AO26="Both",AJ15+(AN5/2),0))</f>
        <v>2.4289598445652555E-3</v>
      </c>
      <c r="AS15" s="25">
        <f>AO15</f>
        <v>2.4289598445652555E-3</v>
      </c>
      <c r="AT15" s="3" t="s">
        <v>60</v>
      </c>
      <c r="AU15" s="3">
        <f>O14+O7+(O5*6)</f>
        <v>556.66309999999999</v>
      </c>
      <c r="AV15" s="3">
        <f t="shared" si="7"/>
        <v>1.3521123168512132</v>
      </c>
      <c r="AW15" s="21">
        <v>2.56</v>
      </c>
      <c r="AX15" s="3">
        <f t="shared" si="2"/>
        <v>0.52816887377000521</v>
      </c>
      <c r="AY15" s="3">
        <f t="shared" si="3"/>
        <v>1.5236208158380884</v>
      </c>
      <c r="AZ15" s="3">
        <f t="shared" si="4"/>
        <v>3.9004692885455064E-2</v>
      </c>
    </row>
    <row r="16" spans="1:52" x14ac:dyDescent="0.2">
      <c r="A16" s="31" t="s">
        <v>83</v>
      </c>
      <c r="B16" s="27">
        <v>7.4334275365203206E-2</v>
      </c>
      <c r="C16" s="32" t="s">
        <v>52</v>
      </c>
      <c r="D16" s="131"/>
      <c r="E16" s="131"/>
      <c r="F16" s="137"/>
      <c r="G16" s="137"/>
      <c r="H16" s="109">
        <f t="shared" si="5"/>
        <v>7.449425212985504E-2</v>
      </c>
      <c r="I16" s="137"/>
      <c r="J16" s="31" t="s">
        <v>79</v>
      </c>
      <c r="K16" s="112">
        <f>AV13*AV39</f>
        <v>19.794261390127001</v>
      </c>
      <c r="L16" s="106">
        <f>AY13</f>
        <v>15.874623581410621</v>
      </c>
      <c r="M16" s="137"/>
      <c r="N16" s="30" t="s">
        <v>85</v>
      </c>
      <c r="O16" s="21">
        <v>44.009799999999998</v>
      </c>
      <c r="P16" s="3">
        <f t="shared" si="0"/>
        <v>3.8710892007412906E-3</v>
      </c>
      <c r="Q16" s="3">
        <f t="shared" si="15"/>
        <v>3.8710892007412906E-3</v>
      </c>
      <c r="R16" s="3">
        <f t="shared" ref="R16:X16" si="16">Q16</f>
        <v>3.8710892007412906E-3</v>
      </c>
      <c r="S16" s="3">
        <f t="shared" si="16"/>
        <v>3.8710892007412906E-3</v>
      </c>
      <c r="T16" s="3">
        <f t="shared" si="16"/>
        <v>3.8710892007412906E-3</v>
      </c>
      <c r="U16" s="3">
        <f t="shared" si="16"/>
        <v>3.8710892007412906E-3</v>
      </c>
      <c r="V16" s="3">
        <f t="shared" si="16"/>
        <v>3.8710892007412906E-3</v>
      </c>
      <c r="W16" s="3">
        <f t="shared" si="16"/>
        <v>3.8710892007412906E-3</v>
      </c>
      <c r="X16" s="3">
        <f t="shared" si="16"/>
        <v>3.8710892007412906E-3</v>
      </c>
      <c r="Y16" s="25">
        <f>IF(Y26="Calcite",X16,IF(Y26="Both",X12,0))</f>
        <v>3.8710892007412906E-3</v>
      </c>
      <c r="AI16" s="3" t="s">
        <v>82</v>
      </c>
      <c r="AJ16" s="41">
        <f>AH18</f>
        <v>0</v>
      </c>
      <c r="AP16" s="25">
        <f>IF(AP26="Wollastonite",AJ16,IF(AP26="Both",AJ16+(2*AO5),0))</f>
        <v>0</v>
      </c>
      <c r="AS16" s="25">
        <f>AP16</f>
        <v>0</v>
      </c>
      <c r="AT16" s="3" t="s">
        <v>82</v>
      </c>
      <c r="AU16" s="3">
        <f>O12+O5</f>
        <v>116.16370000000001</v>
      </c>
      <c r="AV16" s="3">
        <f t="shared" si="7"/>
        <v>0</v>
      </c>
      <c r="AW16" s="21">
        <v>2.86</v>
      </c>
      <c r="AX16" s="3">
        <f t="shared" si="2"/>
        <v>0</v>
      </c>
      <c r="AY16" s="3">
        <f t="shared" si="3"/>
        <v>0</v>
      </c>
      <c r="AZ16" s="3">
        <f t="shared" si="4"/>
        <v>0</v>
      </c>
    </row>
    <row r="17" spans="1:52" x14ac:dyDescent="0.2">
      <c r="A17" s="31" t="s">
        <v>85</v>
      </c>
      <c r="B17" s="44">
        <v>0.17</v>
      </c>
      <c r="C17" s="32" t="s">
        <v>52</v>
      </c>
      <c r="D17" s="131"/>
      <c r="E17" s="137"/>
      <c r="F17" s="137"/>
      <c r="G17" s="137"/>
      <c r="H17" s="109">
        <f t="shared" si="5"/>
        <v>0.17036586150678404</v>
      </c>
      <c r="I17" s="137"/>
      <c r="J17" s="31" t="s">
        <v>82</v>
      </c>
      <c r="K17" s="112">
        <f>AV16*AV39</f>
        <v>0</v>
      </c>
      <c r="L17" s="106">
        <f>AY16</f>
        <v>0</v>
      </c>
      <c r="M17" s="137"/>
      <c r="N17" s="30" t="s">
        <v>87</v>
      </c>
      <c r="O17" s="21">
        <v>80.058199999999999</v>
      </c>
      <c r="P17" s="3">
        <f t="shared" si="0"/>
        <v>6.2588974428009515E-4</v>
      </c>
      <c r="Q17" s="3">
        <f t="shared" si="15"/>
        <v>6.2588974428009515E-4</v>
      </c>
      <c r="R17" s="3">
        <f t="shared" ref="R17:T18" si="17">Q17</f>
        <v>6.2588974428009515E-4</v>
      </c>
      <c r="S17" s="3">
        <f t="shared" si="17"/>
        <v>6.2588974428009515E-4</v>
      </c>
      <c r="T17" s="3">
        <f t="shared" si="17"/>
        <v>6.2588974428009515E-4</v>
      </c>
      <c r="U17" s="25">
        <f>IF(U26="Anhydrite",T17,IF(U26="Both",T12,0))</f>
        <v>0</v>
      </c>
      <c r="Y17" s="25">
        <f>IF(Y26="Na2CO3",X16,IF(Y26="Both",X16-Y16,0))</f>
        <v>0</v>
      </c>
      <c r="AI17" s="3" t="s">
        <v>84</v>
      </c>
      <c r="AL17" s="41">
        <f>IF(AL26="Olivine",AJ13*0.5,IF(AL26="Both",ABS(AJ5),0))</f>
        <v>0</v>
      </c>
      <c r="AQ17" s="25">
        <f>(IF(AQ26="LarniteOlivine",AJ11/2,IF(AQ26="Both",(AJ11-AQ11)/2,0)))+AL17</f>
        <v>0</v>
      </c>
      <c r="AS17" s="25">
        <f>AQ17</f>
        <v>0</v>
      </c>
      <c r="AT17" s="3" t="s">
        <v>84</v>
      </c>
      <c r="AU17" s="3">
        <f>(2*AG31)+O5</f>
        <v>173.01653403564941</v>
      </c>
      <c r="AV17" s="3">
        <f t="shared" si="7"/>
        <v>0</v>
      </c>
      <c r="AW17" s="42">
        <f>(AG$30*3.22)+((1-AG$30)*4.39)</f>
        <v>3.8194930223465509</v>
      </c>
      <c r="AX17" s="3">
        <f t="shared" si="2"/>
        <v>0</v>
      </c>
      <c r="AY17" s="3">
        <f t="shared" si="3"/>
        <v>0</v>
      </c>
      <c r="AZ17" s="3">
        <f t="shared" si="4"/>
        <v>0</v>
      </c>
    </row>
    <row r="18" spans="1:52" x14ac:dyDescent="0.2">
      <c r="A18" s="31" t="s">
        <v>87</v>
      </c>
      <c r="B18" s="45">
        <v>0.05</v>
      </c>
      <c r="C18" s="32" t="s">
        <v>52</v>
      </c>
      <c r="D18" s="131"/>
      <c r="E18" s="137"/>
      <c r="F18" s="137"/>
      <c r="G18" s="137"/>
      <c r="H18" s="109">
        <f t="shared" si="5"/>
        <v>5.0107606325524717E-2</v>
      </c>
      <c r="I18" s="137"/>
      <c r="J18" s="31" t="s">
        <v>84</v>
      </c>
      <c r="K18" s="112">
        <f>AV17*AV39</f>
        <v>0</v>
      </c>
      <c r="L18" s="106">
        <f>AY17</f>
        <v>0</v>
      </c>
      <c r="M18" s="137"/>
      <c r="N18" s="30" t="s">
        <v>88</v>
      </c>
      <c r="O18" s="21">
        <v>32.06</v>
      </c>
      <c r="P18" s="3">
        <f t="shared" si="0"/>
        <v>6.2517287991921031E-4</v>
      </c>
      <c r="Q18" s="3">
        <f t="shared" si="15"/>
        <v>6.2517287991921031E-4</v>
      </c>
      <c r="R18" s="3">
        <f t="shared" si="17"/>
        <v>6.2517287991921031E-4</v>
      </c>
      <c r="S18" s="3">
        <f t="shared" si="17"/>
        <v>6.2517287991921031E-4</v>
      </c>
      <c r="T18" s="3">
        <f t="shared" si="17"/>
        <v>6.2517287991921031E-4</v>
      </c>
      <c r="U18" s="3">
        <f>T18</f>
        <v>6.2517287991921031E-4</v>
      </c>
      <c r="V18" s="25">
        <f>U18*0.5</f>
        <v>3.1258643995960516E-4</v>
      </c>
      <c r="AD18" s="25">
        <f>IF(AD26="Rutile",AC10,IF(AD26="Both",AC10-AC12,0))</f>
        <v>0</v>
      </c>
      <c r="AH18" s="41">
        <f>IF(AH26="Wollastonite",AG12,IF(AH26="Both",AG12-AG9,0))</f>
        <v>0</v>
      </c>
      <c r="AI18" s="3" t="s">
        <v>89</v>
      </c>
      <c r="AM18" s="25">
        <f>IF(AM26="Perovskite",AJ12,IF(AM26="Both",AJ12-AM12,0))</f>
        <v>0</v>
      </c>
      <c r="AS18" s="25">
        <f>AM18</f>
        <v>0</v>
      </c>
      <c r="AT18" s="3" t="s">
        <v>89</v>
      </c>
      <c r="AU18" s="3">
        <f>O12+O6</f>
        <v>135.97819999999999</v>
      </c>
      <c r="AV18" s="3">
        <f t="shared" si="7"/>
        <v>0</v>
      </c>
      <c r="AW18" s="21">
        <v>4</v>
      </c>
      <c r="AX18" s="3">
        <f t="shared" si="2"/>
        <v>0</v>
      </c>
      <c r="AY18" s="3">
        <f t="shared" si="3"/>
        <v>0</v>
      </c>
      <c r="AZ18" s="3">
        <f t="shared" si="4"/>
        <v>0</v>
      </c>
    </row>
    <row r="19" spans="1:52" x14ac:dyDescent="0.2">
      <c r="A19" s="31" t="s">
        <v>88</v>
      </c>
      <c r="B19" s="44">
        <v>0.02</v>
      </c>
      <c r="C19" s="32" t="s">
        <v>52</v>
      </c>
      <c r="D19" s="131"/>
      <c r="E19" s="137"/>
      <c r="F19" s="137"/>
      <c r="G19" s="137"/>
      <c r="H19" s="109">
        <f t="shared" si="5"/>
        <v>2.0043042530209883E-2</v>
      </c>
      <c r="I19" s="137"/>
      <c r="J19" s="31" t="s">
        <v>86</v>
      </c>
      <c r="K19" s="112">
        <f>AV21*AV39</f>
        <v>0</v>
      </c>
      <c r="L19" s="106">
        <f>AY21</f>
        <v>0</v>
      </c>
      <c r="M19" s="137"/>
      <c r="N19" s="30" t="s">
        <v>90</v>
      </c>
      <c r="O19" s="21">
        <v>18.9984</v>
      </c>
      <c r="P19" s="3">
        <f t="shared" si="0"/>
        <v>2.1099716323700821E-3</v>
      </c>
      <c r="Q19" s="3">
        <f t="shared" si="15"/>
        <v>2.1099716323700821E-3</v>
      </c>
      <c r="R19" s="23">
        <f>IF(Q19&gt;=R15,Q19-R15,0)</f>
        <v>1.7600966125331972E-3</v>
      </c>
      <c r="S19" s="3">
        <f>R19</f>
        <v>1.7600966125331972E-3</v>
      </c>
      <c r="T19" s="25">
        <f>S19/2</f>
        <v>8.8004830626659859E-4</v>
      </c>
      <c r="AE19" s="25">
        <f>IF(AE26="Aegirine",AD20,IF(AE26="Both",AD8,0))</f>
        <v>0</v>
      </c>
      <c r="AI19" s="3" t="s">
        <v>64</v>
      </c>
      <c r="AN19" s="25">
        <f>IF(AN26="Nepheline",AJ14,IF(AN26="Both",AJ14-AN14,0))</f>
        <v>0</v>
      </c>
      <c r="AS19" s="25">
        <f>AN19</f>
        <v>0</v>
      </c>
      <c r="AT19" s="3" t="s">
        <v>64</v>
      </c>
      <c r="AU19" s="3">
        <f>O13+O7+(O5*2)</f>
        <v>284.10879999999997</v>
      </c>
      <c r="AV19" s="3">
        <f t="shared" si="7"/>
        <v>0</v>
      </c>
      <c r="AW19" s="21">
        <v>2.56</v>
      </c>
      <c r="AX19" s="3">
        <f t="shared" si="2"/>
        <v>0</v>
      </c>
      <c r="AY19" s="3">
        <f t="shared" si="3"/>
        <v>0</v>
      </c>
      <c r="AZ19" s="3">
        <f t="shared" si="4"/>
        <v>0</v>
      </c>
    </row>
    <row r="20" spans="1:52" x14ac:dyDescent="0.2">
      <c r="A20" s="31" t="s">
        <v>90</v>
      </c>
      <c r="B20" s="44">
        <v>0.04</v>
      </c>
      <c r="C20" s="32" t="s">
        <v>52</v>
      </c>
      <c r="D20" s="131"/>
      <c r="E20" s="46" t="s">
        <v>91</v>
      </c>
      <c r="F20" s="47"/>
      <c r="G20" s="143"/>
      <c r="H20" s="109">
        <f t="shared" si="5"/>
        <v>4.0086085060419767E-2</v>
      </c>
      <c r="I20" s="137"/>
      <c r="J20" s="31" t="s">
        <v>182</v>
      </c>
      <c r="K20" s="112">
        <f>AV10*AV39</f>
        <v>0</v>
      </c>
      <c r="L20" s="106">
        <f>AY10</f>
        <v>0</v>
      </c>
      <c r="M20" s="137"/>
      <c r="N20" s="30" t="s">
        <v>92</v>
      </c>
      <c r="O20" s="21">
        <v>35.453000000000003</v>
      </c>
      <c r="P20" s="3">
        <f t="shared" si="0"/>
        <v>2.8267061363227206E-4</v>
      </c>
      <c r="Q20" s="3">
        <f t="shared" si="15"/>
        <v>2.8267061363227206E-4</v>
      </c>
      <c r="R20" s="3">
        <f>Q20</f>
        <v>2.8267061363227206E-4</v>
      </c>
      <c r="S20" s="25">
        <f>R20</f>
        <v>2.8267061363227206E-4</v>
      </c>
      <c r="AB20" s="41">
        <f>IF(AB26="Na2SiO3",AA13,IF(AB26="Both",AA13-AB13,0))</f>
        <v>0</v>
      </c>
      <c r="AC20" s="41">
        <f>AB20</f>
        <v>0</v>
      </c>
      <c r="AD20" s="41">
        <f>AC20</f>
        <v>0</v>
      </c>
      <c r="AE20" s="25">
        <f>IF(AE26="Na2SiO3",AD20,IF(AE26="Both",AD20-AE19,0))</f>
        <v>0</v>
      </c>
      <c r="AI20" s="3" t="s">
        <v>68</v>
      </c>
      <c r="AO20" s="41">
        <f>IF(AO26="Leucite",AJ15,IF(AO26="Both",AJ15-AO15,0))</f>
        <v>0</v>
      </c>
      <c r="AR20" s="25">
        <f>IF(AR26="Leucite",AO20,IF(AR26="Both",AO20+(AQ5/2),0))</f>
        <v>0</v>
      </c>
      <c r="AS20" s="25">
        <f>AR20</f>
        <v>0</v>
      </c>
      <c r="AT20" s="3" t="s">
        <v>68</v>
      </c>
      <c r="AU20" s="3">
        <f>O14+O7+(O5*4)</f>
        <v>436.49450000000002</v>
      </c>
      <c r="AV20" s="3">
        <f t="shared" si="7"/>
        <v>0</v>
      </c>
      <c r="AW20" s="21">
        <v>2.4900000000000002</v>
      </c>
      <c r="AX20" s="3">
        <f t="shared" si="2"/>
        <v>0</v>
      </c>
      <c r="AY20" s="3">
        <f t="shared" si="3"/>
        <v>0</v>
      </c>
      <c r="AZ20" s="3">
        <f t="shared" si="4"/>
        <v>0</v>
      </c>
    </row>
    <row r="21" spans="1:52" x14ac:dyDescent="0.2">
      <c r="A21" s="31" t="s">
        <v>92</v>
      </c>
      <c r="B21" s="44">
        <v>0.01</v>
      </c>
      <c r="C21" s="32" t="s">
        <v>52</v>
      </c>
      <c r="D21" s="131"/>
      <c r="E21" s="48" t="str">
        <f>IF(AND(ABS(SUM(H27,K39,L39)-3*H27)&lt;0.05,MIN(K6:K38,L6:L38)&gt;-0.05),"Norm seems OK","")</f>
        <v>Norm seems OK</v>
      </c>
      <c r="F21" s="49"/>
      <c r="G21" s="143"/>
      <c r="H21" s="109">
        <f t="shared" si="5"/>
        <v>1.0021521265104942E-2</v>
      </c>
      <c r="I21" s="137"/>
      <c r="J21" s="31" t="s">
        <v>59</v>
      </c>
      <c r="K21" s="112">
        <f>AV7*AV39</f>
        <v>0</v>
      </c>
      <c r="L21" s="106">
        <f>AY7</f>
        <v>0</v>
      </c>
      <c r="M21" s="137"/>
      <c r="N21" s="30" t="s">
        <v>94</v>
      </c>
      <c r="O21" s="21">
        <v>103.6194</v>
      </c>
      <c r="P21" s="3">
        <f t="shared" si="0"/>
        <v>4.6550249609276102E-4</v>
      </c>
      <c r="U21" s="25">
        <f>IF(U26="Thenardite",T17,IF(U26="Both",T17-U17,0))</f>
        <v>6.2588974428009515E-4</v>
      </c>
      <c r="AC21" s="25">
        <f>IF(AC26="Anorthite",IF(AB7&gt;AB12,AB12,AB7),0)</f>
        <v>9.8700757328703509E-2</v>
      </c>
      <c r="AI21" s="3" t="s">
        <v>86</v>
      </c>
      <c r="AP21" s="41">
        <f>IF(AP26="Larnite",AJ16/2,IF(AP26="Both",(AJ16-AP16)/2,0))</f>
        <v>0</v>
      </c>
      <c r="AQ21" s="25">
        <f>(IF(AQ26="LarniteOlivine",AJ11/2,IF(AQ26="Both",(AJ11-AQ11)/2,0)))+AP21</f>
        <v>0</v>
      </c>
      <c r="AS21" s="25">
        <f>AQ21</f>
        <v>0</v>
      </c>
      <c r="AT21" s="3" t="s">
        <v>86</v>
      </c>
      <c r="AU21" s="3">
        <f>(O12*2)+O5</f>
        <v>172.2431</v>
      </c>
      <c r="AV21" s="3">
        <f t="shared" si="7"/>
        <v>0</v>
      </c>
      <c r="AW21" s="21">
        <v>3.27</v>
      </c>
      <c r="AX21" s="3">
        <f t="shared" si="2"/>
        <v>0</v>
      </c>
      <c r="AY21" s="3">
        <f t="shared" si="3"/>
        <v>0</v>
      </c>
      <c r="AZ21" s="3">
        <f t="shared" si="4"/>
        <v>0</v>
      </c>
    </row>
    <row r="22" spans="1:52" x14ac:dyDescent="0.2">
      <c r="A22" s="31" t="s">
        <v>94</v>
      </c>
      <c r="B22" s="50">
        <v>407</v>
      </c>
      <c r="C22" s="32" t="s">
        <v>95</v>
      </c>
      <c r="D22" s="131"/>
      <c r="E22" s="51" t="str">
        <f>IF(AND(ABS(SUM(H27,K39,L39)-3*H27)&lt;0.05,MIN(K6:K38,L6:L38)&gt;-0.05),"","Problem with the norm")</f>
        <v/>
      </c>
      <c r="F22" s="52"/>
      <c r="G22" s="143"/>
      <c r="H22" s="109">
        <f t="shared" si="5"/>
        <v>4.8235089343634241E-2</v>
      </c>
      <c r="I22" s="137"/>
      <c r="J22" s="31" t="s">
        <v>66</v>
      </c>
      <c r="K22" s="112">
        <f>AV9*AV39</f>
        <v>0</v>
      </c>
      <c r="L22" s="106">
        <f>AY9</f>
        <v>0</v>
      </c>
      <c r="M22" s="137"/>
      <c r="N22" s="30" t="s">
        <v>97</v>
      </c>
      <c r="O22" s="21">
        <v>153.32939999999999</v>
      </c>
      <c r="P22" s="3">
        <f t="shared" si="0"/>
        <v>7.2094575085989885E-4</v>
      </c>
      <c r="AF22" s="25">
        <f>IF(AF26="Hematite",AE8,IF(AF26="Both",AE8-AE9,0))</f>
        <v>0</v>
      </c>
      <c r="AI22" s="3" t="s">
        <v>71</v>
      </c>
      <c r="AR22" s="25">
        <f>IF(AR26="Kalsilite",AO20,IF(AR26="Both",AO20-AR20,0))</f>
        <v>0</v>
      </c>
      <c r="AS22" s="25">
        <f>AR22</f>
        <v>0</v>
      </c>
      <c r="AT22" s="3" t="s">
        <v>71</v>
      </c>
      <c r="AU22" s="3">
        <f>O14+O7+(O5*2)</f>
        <v>316.32589999999999</v>
      </c>
      <c r="AV22" s="3">
        <f t="shared" si="7"/>
        <v>0</v>
      </c>
      <c r="AW22" s="21">
        <v>2.6</v>
      </c>
      <c r="AX22" s="3">
        <f t="shared" si="2"/>
        <v>0</v>
      </c>
      <c r="AY22" s="3">
        <f t="shared" si="3"/>
        <v>0</v>
      </c>
      <c r="AZ22" s="3">
        <f t="shared" si="4"/>
        <v>0</v>
      </c>
    </row>
    <row r="23" spans="1:52" x14ac:dyDescent="0.2">
      <c r="A23" s="31" t="s">
        <v>97</v>
      </c>
      <c r="B23" s="50">
        <v>988</v>
      </c>
      <c r="C23" s="32" t="s">
        <v>95</v>
      </c>
      <c r="D23" s="131"/>
      <c r="E23" s="137"/>
      <c r="F23" s="137"/>
      <c r="G23" s="137"/>
      <c r="H23" s="109">
        <f t="shared" si="5"/>
        <v>0.11054217941189777</v>
      </c>
      <c r="I23" s="137"/>
      <c r="J23" s="31" t="s">
        <v>93</v>
      </c>
      <c r="K23" s="112">
        <f>AV35*AV39</f>
        <v>0</v>
      </c>
      <c r="L23" s="106">
        <f>AY35</f>
        <v>0</v>
      </c>
      <c r="M23" s="137"/>
      <c r="N23" s="30" t="s">
        <v>99</v>
      </c>
      <c r="O23" s="21">
        <v>74.699399999999997</v>
      </c>
      <c r="P23" s="3">
        <f t="shared" si="0"/>
        <v>2.6292097566891337E-4</v>
      </c>
      <c r="W23" s="25">
        <f>IF(W26="Magnesiochromite",V24,IF(W26="Both",V24-W24,0))</f>
        <v>0</v>
      </c>
      <c r="AS23" s="25">
        <f>R15</f>
        <v>3.4987501983688483E-4</v>
      </c>
      <c r="AT23" s="3" t="s">
        <v>100</v>
      </c>
      <c r="AU23" s="3">
        <f>R29</f>
        <v>504.30248</v>
      </c>
      <c r="AV23" s="3">
        <f t="shared" si="7"/>
        <v>0.17644284019379022</v>
      </c>
      <c r="AW23" s="21">
        <v>3.2</v>
      </c>
      <c r="AX23" s="3">
        <f t="shared" si="2"/>
        <v>5.5138387560559443E-2</v>
      </c>
      <c r="AY23" s="3">
        <f t="shared" si="3"/>
        <v>0.15905896619648022</v>
      </c>
      <c r="AZ23" s="3">
        <f t="shared" si="4"/>
        <v>5.0898869182873672E-3</v>
      </c>
    </row>
    <row r="24" spans="1:52" x14ac:dyDescent="0.2">
      <c r="A24" s="31" t="s">
        <v>99</v>
      </c>
      <c r="B24" s="50">
        <v>154</v>
      </c>
      <c r="C24" s="32" t="s">
        <v>95</v>
      </c>
      <c r="D24" s="131"/>
      <c r="E24" s="137"/>
      <c r="F24" s="137"/>
      <c r="G24" s="137"/>
      <c r="H24" s="109">
        <f t="shared" si="5"/>
        <v>1.9640039129882426E-2</v>
      </c>
      <c r="I24" s="137"/>
      <c r="J24" s="31" t="s">
        <v>96</v>
      </c>
      <c r="K24" s="112">
        <f>AV31*AV39</f>
        <v>0.62533113297381038</v>
      </c>
      <c r="L24" s="106">
        <f>AY31</f>
        <v>0.37948423575652429</v>
      </c>
      <c r="M24" s="137"/>
      <c r="N24" s="30" t="s">
        <v>102</v>
      </c>
      <c r="O24" s="21">
        <v>151.99019999999999</v>
      </c>
      <c r="P24" s="3">
        <f t="shared" si="0"/>
        <v>1.0793269437705356E-4</v>
      </c>
      <c r="Q24" s="3">
        <f t="shared" ref="Q24:V25" si="18">P24</f>
        <v>1.0793269437705356E-4</v>
      </c>
      <c r="R24" s="3">
        <f t="shared" si="18"/>
        <v>1.0793269437705356E-4</v>
      </c>
      <c r="S24" s="3">
        <f t="shared" si="18"/>
        <v>1.0793269437705356E-4</v>
      </c>
      <c r="T24" s="3">
        <f t="shared" si="18"/>
        <v>1.0793269437705356E-4</v>
      </c>
      <c r="U24" s="3">
        <f t="shared" si="18"/>
        <v>1.0793269437705356E-4</v>
      </c>
      <c r="V24" s="3">
        <f t="shared" si="18"/>
        <v>1.0793269437705356E-4</v>
      </c>
      <c r="W24" s="25">
        <f>IF(W26="Chromite",V24,IF(W26="Both",V9,0))</f>
        <v>1.0793269437705356E-4</v>
      </c>
      <c r="AS24" s="25">
        <f>S20</f>
        <v>2.8267061363227206E-4</v>
      </c>
      <c r="AT24" s="3" t="s">
        <v>103</v>
      </c>
      <c r="AU24" s="3">
        <f>(O13+(O20*2))/2</f>
        <v>66.442450000000008</v>
      </c>
      <c r="AV24" s="3">
        <f t="shared" si="7"/>
        <v>1.8781328112731557E-2</v>
      </c>
      <c r="AW24" s="21">
        <v>2.17</v>
      </c>
      <c r="AX24" s="3">
        <f t="shared" si="2"/>
        <v>8.654989913701179E-3</v>
      </c>
      <c r="AY24" s="3">
        <f t="shared" si="3"/>
        <v>2.496724712165858E-2</v>
      </c>
      <c r="AZ24" s="3">
        <f t="shared" si="4"/>
        <v>5.4178926253999114E-4</v>
      </c>
    </row>
    <row r="25" spans="1:52" x14ac:dyDescent="0.2">
      <c r="A25" s="31" t="s">
        <v>102</v>
      </c>
      <c r="B25" s="50">
        <v>112</v>
      </c>
      <c r="C25" s="32" t="s">
        <v>95</v>
      </c>
      <c r="D25" s="131"/>
      <c r="E25" s="151" t="s">
        <v>177</v>
      </c>
      <c r="F25" s="152"/>
      <c r="G25" s="137"/>
      <c r="H25" s="109">
        <f t="shared" si="5"/>
        <v>1.6404711804907244E-2</v>
      </c>
      <c r="I25" s="137"/>
      <c r="J25" s="31" t="s">
        <v>98</v>
      </c>
      <c r="K25" s="112">
        <f>AV36*AV39</f>
        <v>1.6764621085491382</v>
      </c>
      <c r="L25" s="106">
        <f>AY36</f>
        <v>0.92932516234282292</v>
      </c>
      <c r="M25" s="137"/>
      <c r="N25" s="53" t="s">
        <v>104</v>
      </c>
      <c r="O25" s="54">
        <v>123.2188</v>
      </c>
      <c r="P25" s="11">
        <f t="shared" si="0"/>
        <v>2.2631646365558352E-4</v>
      </c>
      <c r="Q25" s="11">
        <f t="shared" si="18"/>
        <v>2.2631646365558352E-4</v>
      </c>
      <c r="R25" s="11">
        <f t="shared" si="18"/>
        <v>2.2631646365558352E-4</v>
      </c>
      <c r="S25" s="11">
        <f t="shared" si="18"/>
        <v>2.2631646365558352E-4</v>
      </c>
      <c r="T25" s="11">
        <f t="shared" si="18"/>
        <v>2.2631646365558352E-4</v>
      </c>
      <c r="U25" s="11">
        <f t="shared" si="18"/>
        <v>2.2631646365558352E-4</v>
      </c>
      <c r="V25" s="11">
        <f t="shared" si="18"/>
        <v>2.2631646365558352E-4</v>
      </c>
      <c r="W25" s="11">
        <f>V25</f>
        <v>2.2631646365558352E-4</v>
      </c>
      <c r="X25" s="11">
        <f>W25</f>
        <v>2.2631646365558352E-4</v>
      </c>
      <c r="Y25" s="11">
        <f>X25</f>
        <v>2.2631646365558352E-4</v>
      </c>
      <c r="Z25" s="55">
        <f>Y25</f>
        <v>2.2631646365558352E-4</v>
      </c>
      <c r="AA25" s="11"/>
      <c r="AB25" s="11"/>
      <c r="AC25" s="11"/>
      <c r="AD25" s="11"/>
      <c r="AE25" s="11"/>
      <c r="AF25" s="11"/>
      <c r="AG25" s="11"/>
      <c r="AH25" s="11"/>
      <c r="AI25" s="11"/>
      <c r="AJ25" s="11"/>
      <c r="AK25" s="11"/>
      <c r="AL25" s="11"/>
      <c r="AM25" s="11"/>
      <c r="AN25" s="11"/>
      <c r="AO25" s="11"/>
      <c r="AP25" s="11"/>
      <c r="AQ25" s="11"/>
      <c r="AR25" s="11"/>
      <c r="AS25" s="25">
        <f>T19</f>
        <v>8.8004830626659859E-4</v>
      </c>
      <c r="AT25" s="3" t="s">
        <v>105</v>
      </c>
      <c r="AU25" s="3">
        <f>O12+(O19*2)</f>
        <v>94.0762</v>
      </c>
      <c r="AV25" s="3">
        <f t="shared" si="7"/>
        <v>8.2791600469997784E-2</v>
      </c>
      <c r="AW25" s="21">
        <v>3.18</v>
      </c>
      <c r="AX25" s="3">
        <f t="shared" si="2"/>
        <v>2.6035094487420685E-2</v>
      </c>
      <c r="AY25" s="3">
        <f t="shared" si="3"/>
        <v>7.5104031822630951E-2</v>
      </c>
      <c r="AZ25" s="3">
        <f t="shared" si="4"/>
        <v>2.3883082119596642E-3</v>
      </c>
    </row>
    <row r="26" spans="1:52" x14ac:dyDescent="0.2">
      <c r="A26" s="33" t="s">
        <v>104</v>
      </c>
      <c r="B26" s="56">
        <v>206</v>
      </c>
      <c r="C26" s="57" t="s">
        <v>95</v>
      </c>
      <c r="D26" s="131"/>
      <c r="E26" s="131"/>
      <c r="F26" s="137"/>
      <c r="G26" s="137"/>
      <c r="H26" s="109">
        <f t="shared" si="5"/>
        <v>2.7886443071884617E-2</v>
      </c>
      <c r="I26" s="137"/>
      <c r="J26" s="31" t="s">
        <v>101</v>
      </c>
      <c r="K26" s="112">
        <f>AV37*AV39</f>
        <v>0</v>
      </c>
      <c r="L26" s="106">
        <f>AY37</f>
        <v>0</v>
      </c>
      <c r="M26" s="137"/>
      <c r="N26" s="23"/>
      <c r="O26" s="3" t="s">
        <v>106</v>
      </c>
      <c r="R26" s="3" t="s">
        <v>100</v>
      </c>
      <c r="S26" s="3" t="s">
        <v>103</v>
      </c>
      <c r="T26" s="3" t="s">
        <v>105</v>
      </c>
      <c r="U26" s="3" t="str">
        <f>IF(T17&gt;0,IF(T13&gt;=T17,"Thenardite",IF(T13&gt;0,"Both","Anhydrite")),"None")</f>
        <v>Thenardite</v>
      </c>
      <c r="W26" s="3" t="str">
        <f>IF(V24&gt;0,IF(V9&gt;=V24,"Chromite",IF(V9&gt;0,"Both","Magnesiochromite")),"None")</f>
        <v>Chromite</v>
      </c>
      <c r="X26" s="3" t="str">
        <f>IF(W6&gt;0,IF(W9&gt;=W6,"Ilmenite",IF(W9&gt;0,"Both","Sphene")),"None")</f>
        <v>Ilmenite</v>
      </c>
      <c r="Y26" s="3" t="str">
        <f>IF(X16&gt;0,IF(X12&gt;=X16,"Calcite",IF(X12&gt;0,"Both","Na2CO3")),"None")</f>
        <v>Calcite</v>
      </c>
      <c r="AA26" s="3" t="str">
        <f>IF(Z14&gt;0,IF(Z7&gt;=Z14,"Orthoclase",IF(Z7&gt;0,"Both","K2SiO3")),"None")</f>
        <v>Orthoclase</v>
      </c>
      <c r="AB26" s="3" t="str">
        <f>IF(AA13&gt;0,IF(AA7&gt;=AA13,"Albite",IF(AA7&gt;0,"Both","Na2SiO3")),"None")</f>
        <v>Albite</v>
      </c>
      <c r="AC26" s="3" t="str">
        <f>IF(AB7&gt;0,IF(AB12&gt;0,"Anorthite","None"),"None")</f>
        <v>Anorthite</v>
      </c>
      <c r="AD26" s="3" t="str">
        <f>IF(AC10&gt;0,IF(AC12&gt;=AC10,"Sphene",IF(AC12&gt;0,"Both","Rutile")),"None")</f>
        <v>None</v>
      </c>
      <c r="AE26" s="3" t="str">
        <f>IF(AND(AD20&gt;0),IF(AD8&gt;=AD20,"Aegirine",IF(AD8&gt;0,"Both","Na2SiO3")),"None")</f>
        <v>None</v>
      </c>
      <c r="AF26" s="3" t="str">
        <f>IF(AE8&gt;0,IF(AE9&gt;=AE8,"Magnetite",IF(AE9&gt;0,"Both","Hematite")),"None")</f>
        <v>Magnetite</v>
      </c>
      <c r="AH26" s="3" t="str">
        <f>IF(AG12&gt;0,IF(AG9&gt;=AG12,"Diopside",IF(AG9&gt;0,"Both","Wollastonite")),"None")</f>
        <v>Diopside</v>
      </c>
      <c r="AL26" s="3" t="str">
        <f>IF(AJ13&gt;0,IF(AJ5&gt;=0,"Hypersthene",IF(AJ13+(2*AJ5)&gt;0,"Both","Olivine")),"None")</f>
        <v>Hypersthene</v>
      </c>
      <c r="AM26" s="3" t="str">
        <f>IF(AJ12&gt;0,IF(AL5&gt;=0,"Sphene",IF(AJ12+AL5&gt;0,"Both","Perovskite")),"None")</f>
        <v>None</v>
      </c>
      <c r="AN26" s="3" t="str">
        <f>IF(AJ14&gt;0,IF(AM5&gt;=0,"Albite",IF(AJ14+(AM5/4)&gt;0,"Both","Nepheline")),"None")</f>
        <v>Albite</v>
      </c>
      <c r="AO26" s="3" t="str">
        <f>IF(AJ15&gt;0,IF(AN5&gt;=0,"Orthoclase",IF(AJ15+(AN5/2)&gt;0,"Both","Leucite")),"None")</f>
        <v>Orthoclase</v>
      </c>
      <c r="AP26" s="3" t="str">
        <f>IF(AJ16&gt;0,IF(AO5&gt;=0,"Wollastonite",IF(AJ16+(AO5*2)&gt;0,"Both","Larnite")),"None")</f>
        <v>None</v>
      </c>
      <c r="AQ26" s="3" t="str">
        <f>IF(AJ11&gt;0,IF(AP5&gt;=0,"Diopside",IF(AJ11+AP5&gt;0,"Both","LarniteOlivine")),"None")</f>
        <v>Diopside</v>
      </c>
      <c r="AR26" s="3" t="str">
        <f>IF(AO20&gt;0,IF(AQ5&gt;=0,"Leucite",IF(AO20+(AQ5/2)&gt;0,"Both","Kalsilite")),"None")</f>
        <v>None</v>
      </c>
      <c r="AS26" s="25">
        <f>U17</f>
        <v>0</v>
      </c>
      <c r="AT26" s="3" t="s">
        <v>107</v>
      </c>
      <c r="AU26" s="3">
        <f>O12+O17</f>
        <v>136.13759999999999</v>
      </c>
      <c r="AV26" s="3">
        <f t="shared" si="7"/>
        <v>0</v>
      </c>
      <c r="AW26" s="21">
        <v>2.96</v>
      </c>
      <c r="AX26" s="3">
        <f t="shared" si="2"/>
        <v>0</v>
      </c>
      <c r="AY26" s="3">
        <f t="shared" si="3"/>
        <v>0</v>
      </c>
      <c r="AZ26" s="3">
        <f t="shared" si="4"/>
        <v>0</v>
      </c>
    </row>
    <row r="27" spans="1:52" x14ac:dyDescent="0.2">
      <c r="A27" s="33" t="s">
        <v>108</v>
      </c>
      <c r="B27" s="104">
        <f>SUM(B6:B21)</f>
        <v>99.58181194238631</v>
      </c>
      <c r="C27" s="57"/>
      <c r="D27" s="131"/>
      <c r="E27" s="137"/>
      <c r="F27" s="137"/>
      <c r="G27" s="137"/>
      <c r="H27" s="110">
        <f>SUM(H6:H26)</f>
        <v>99.999999999999986</v>
      </c>
      <c r="I27" s="137"/>
      <c r="J27" s="31" t="s">
        <v>100</v>
      </c>
      <c r="K27" s="112">
        <f>AV23*AV39</f>
        <v>0.17657565902231739</v>
      </c>
      <c r="L27" s="106">
        <f>AY23</f>
        <v>0.15905896619648022</v>
      </c>
      <c r="M27" s="137"/>
      <c r="N27" s="25"/>
      <c r="O27" s="3" t="s">
        <v>109</v>
      </c>
      <c r="R27" s="150">
        <v>502.31142000000006</v>
      </c>
      <c r="S27" s="3" t="s">
        <v>186</v>
      </c>
      <c r="U27" s="3" t="s">
        <v>107</v>
      </c>
      <c r="W27" s="3" t="s">
        <v>110</v>
      </c>
      <c r="X27" s="3" t="s">
        <v>96</v>
      </c>
      <c r="Y27" s="3" t="s">
        <v>111</v>
      </c>
      <c r="AA27" s="3" t="s">
        <v>60</v>
      </c>
      <c r="AB27" s="3" t="s">
        <v>81</v>
      </c>
      <c r="AC27" s="3" t="s">
        <v>75</v>
      </c>
      <c r="AD27" s="3" t="s">
        <v>77</v>
      </c>
      <c r="AE27" s="3" t="s">
        <v>182</v>
      </c>
      <c r="AF27" s="3" t="s">
        <v>98</v>
      </c>
      <c r="AH27" s="3" t="s">
        <v>79</v>
      </c>
      <c r="AN27" s="3">
        <f>IF(AJ8=0,0,AJ8/(AJ8+(AN14*2)))</f>
        <v>0.46440204427244491</v>
      </c>
      <c r="AO27" s="3" t="s">
        <v>112</v>
      </c>
      <c r="AS27" s="25">
        <f>U21</f>
        <v>6.2588974428009515E-4</v>
      </c>
      <c r="AT27" s="3" t="s">
        <v>113</v>
      </c>
      <c r="AU27" s="3">
        <f>O13+O17</f>
        <v>142.03710000000001</v>
      </c>
      <c r="AV27" s="3">
        <f t="shared" si="7"/>
        <v>8.8899564197286313E-2</v>
      </c>
      <c r="AW27" s="21">
        <v>2.68</v>
      </c>
      <c r="AX27" s="3">
        <f t="shared" si="2"/>
        <v>3.3171479178091906E-2</v>
      </c>
      <c r="AY27" s="3">
        <f t="shared" si="3"/>
        <v>9.5690523765868243E-2</v>
      </c>
      <c r="AZ27" s="3">
        <f t="shared" si="4"/>
        <v>2.5645060369252691E-3</v>
      </c>
    </row>
    <row r="28" spans="1:52" x14ac:dyDescent="0.2">
      <c r="A28" s="131"/>
      <c r="B28" s="131"/>
      <c r="C28" s="131"/>
      <c r="D28" s="131"/>
      <c r="E28" s="132"/>
      <c r="F28" s="132"/>
      <c r="G28" s="132"/>
      <c r="H28" s="131"/>
      <c r="I28" s="131"/>
      <c r="J28" s="31" t="s">
        <v>55</v>
      </c>
      <c r="K28" s="112">
        <f>AV6*AV39</f>
        <v>4.1515737181639173E-2</v>
      </c>
      <c r="L28" s="106">
        <f>AY6</f>
        <v>2.6243708742027139E-2</v>
      </c>
      <c r="M28" s="137"/>
      <c r="N28" s="41"/>
      <c r="O28" s="3" t="s">
        <v>115</v>
      </c>
      <c r="R28" s="150">
        <v>504.30248</v>
      </c>
      <c r="S28" s="3" t="s">
        <v>187</v>
      </c>
      <c r="U28" s="3" t="s">
        <v>113</v>
      </c>
      <c r="W28" s="3" t="s">
        <v>114</v>
      </c>
      <c r="X28" s="3" t="s">
        <v>77</v>
      </c>
      <c r="Y28" s="3" t="s">
        <v>116</v>
      </c>
      <c r="AA28" s="3" t="s">
        <v>59</v>
      </c>
      <c r="AB28" s="3" t="s">
        <v>66</v>
      </c>
      <c r="AC28" s="3" t="s">
        <v>62</v>
      </c>
      <c r="AD28" s="3" t="s">
        <v>93</v>
      </c>
      <c r="AE28" s="3" t="s">
        <v>66</v>
      </c>
      <c r="AF28" s="3" t="s">
        <v>101</v>
      </c>
      <c r="AH28" s="3" t="s">
        <v>73</v>
      </c>
      <c r="AS28" s="25">
        <f>V18</f>
        <v>3.1258643995960516E-4</v>
      </c>
      <c r="AT28" s="3" t="s">
        <v>117</v>
      </c>
      <c r="AU28" s="3">
        <f>(O18*2)+O9</f>
        <v>135.96640000000002</v>
      </c>
      <c r="AV28" s="3">
        <f t="shared" si="7"/>
        <v>4.2501252930123662E-2</v>
      </c>
      <c r="AW28" s="21">
        <v>4.99</v>
      </c>
      <c r="AX28" s="3">
        <f t="shared" si="2"/>
        <v>8.517285156337406E-3</v>
      </c>
      <c r="AY28" s="3">
        <f t="shared" si="3"/>
        <v>2.4570007062315852E-2</v>
      </c>
      <c r="AZ28" s="3">
        <f t="shared" si="4"/>
        <v>1.2260433524095612E-3</v>
      </c>
    </row>
    <row r="29" spans="1:52" x14ac:dyDescent="0.2">
      <c r="A29" s="133"/>
      <c r="B29" s="133"/>
      <c r="C29" s="133"/>
      <c r="D29" s="133"/>
      <c r="E29" s="134"/>
      <c r="F29" s="134"/>
      <c r="G29" s="134"/>
      <c r="H29" s="131"/>
      <c r="I29" s="131"/>
      <c r="J29" s="31" t="s">
        <v>89</v>
      </c>
      <c r="K29" s="112">
        <f>AV18*AV39</f>
        <v>0</v>
      </c>
      <c r="L29" s="106">
        <f>AY18</f>
        <v>0</v>
      </c>
      <c r="M29" s="137"/>
      <c r="N29" s="58"/>
      <c r="R29" s="150">
        <f>IF(AND(Q19&lt;=R15/3,R15&gt;0),((Q19/(R15/3))*R28)+((1-(Q19/(R15/3)))*R27),R28)</f>
        <v>504.30248</v>
      </c>
      <c r="S29" s="3" t="s">
        <v>118</v>
      </c>
      <c r="AH29" s="3" t="s">
        <v>82</v>
      </c>
      <c r="AS29" s="25">
        <f>W23</f>
        <v>0</v>
      </c>
      <c r="AT29" s="3" t="s">
        <v>110</v>
      </c>
      <c r="AU29" s="3">
        <f>O11+O24</f>
        <v>192.2946</v>
      </c>
      <c r="AV29" s="3">
        <f t="shared" si="7"/>
        <v>0</v>
      </c>
      <c r="AW29" s="21">
        <v>4.43</v>
      </c>
      <c r="AX29" s="3">
        <f t="shared" si="2"/>
        <v>0</v>
      </c>
      <c r="AY29" s="3">
        <f t="shared" si="3"/>
        <v>0</v>
      </c>
      <c r="AZ29" s="3">
        <f t="shared" si="4"/>
        <v>0</v>
      </c>
    </row>
    <row r="30" spans="1:52" x14ac:dyDescent="0.2">
      <c r="A30" s="135"/>
      <c r="B30" s="136"/>
      <c r="C30" s="133"/>
      <c r="D30" s="133"/>
      <c r="E30" s="137"/>
      <c r="F30" s="137"/>
      <c r="G30" s="137"/>
      <c r="H30" s="131"/>
      <c r="I30" s="131"/>
      <c r="J30" s="31" t="s">
        <v>114</v>
      </c>
      <c r="K30" s="112">
        <f>(AV30+AV29)*AV39</f>
        <v>2.4177473444468592E-2</v>
      </c>
      <c r="L30" s="106">
        <f>AY30+AY29</f>
        <v>1.3692111608581241E-2</v>
      </c>
      <c r="M30" s="137"/>
      <c r="N30" s="3"/>
      <c r="AG30" s="3">
        <f>IF(AF11&gt;0,AF11/(AF11+AF9),0)</f>
        <v>0.48761280141320468</v>
      </c>
      <c r="AH30" s="3" t="s">
        <v>119</v>
      </c>
      <c r="AS30" s="25">
        <f>W24</f>
        <v>1.0793269437705356E-4</v>
      </c>
      <c r="AT30" s="3" t="s">
        <v>114</v>
      </c>
      <c r="AU30" s="3">
        <f>O9+O24</f>
        <v>223.83659999999998</v>
      </c>
      <c r="AV30" s="3">
        <f t="shared" si="7"/>
        <v>2.4159287338198783E-2</v>
      </c>
      <c r="AW30" s="21">
        <v>5.09</v>
      </c>
      <c r="AX30" s="3">
        <f t="shared" si="2"/>
        <v>4.7464218739093874E-3</v>
      </c>
      <c r="AY30" s="3">
        <f t="shared" si="3"/>
        <v>1.3692111608581241E-2</v>
      </c>
      <c r="AZ30" s="3">
        <f t="shared" si="4"/>
        <v>6.969284808767852E-4</v>
      </c>
    </row>
    <row r="31" spans="1:52" x14ac:dyDescent="0.2">
      <c r="A31" s="135"/>
      <c r="B31" s="136"/>
      <c r="C31" s="133"/>
      <c r="D31" s="133"/>
      <c r="E31" s="137"/>
      <c r="F31" s="137"/>
      <c r="G31" s="137"/>
      <c r="H31" s="131"/>
      <c r="I31" s="131"/>
      <c r="J31" s="31" t="s">
        <v>176</v>
      </c>
      <c r="K31" s="112">
        <f>AV12*AV39</f>
        <v>0</v>
      </c>
      <c r="L31" s="106">
        <f>AY12</f>
        <v>0</v>
      </c>
      <c r="M31" s="137"/>
      <c r="N31" s="3"/>
      <c r="AG31" s="3">
        <f>(AG30*O11)+((1-AG30)*O9)</f>
        <v>56.466117017824708</v>
      </c>
      <c r="AH31" s="3" t="s">
        <v>120</v>
      </c>
      <c r="AS31" s="25">
        <f>X6</f>
        <v>4.1178288591040817E-3</v>
      </c>
      <c r="AT31" s="3" t="s">
        <v>96</v>
      </c>
      <c r="AU31" s="3">
        <f>O9+O6</f>
        <v>151.74520000000001</v>
      </c>
      <c r="AV31" s="3">
        <f t="shared" si="7"/>
        <v>0.6248607637905208</v>
      </c>
      <c r="AW31" s="21">
        <v>4.75</v>
      </c>
      <c r="AX31" s="3">
        <f t="shared" si="2"/>
        <v>0.13154963448221491</v>
      </c>
      <c r="AY31" s="3">
        <f t="shared" si="3"/>
        <v>0.37948423575652429</v>
      </c>
      <c r="AZ31" s="3">
        <f t="shared" si="4"/>
        <v>1.8025501198434903E-2</v>
      </c>
    </row>
    <row r="32" spans="1:52" x14ac:dyDescent="0.2">
      <c r="A32" s="135"/>
      <c r="B32" s="136"/>
      <c r="C32" s="133"/>
      <c r="D32" s="133"/>
      <c r="E32" s="137"/>
      <c r="F32" s="137"/>
      <c r="G32" s="137"/>
      <c r="H32" s="131"/>
      <c r="I32" s="131"/>
      <c r="J32" s="31" t="s">
        <v>117</v>
      </c>
      <c r="K32" s="112">
        <f>AV28*AV39</f>
        <v>4.2533246104904325E-2</v>
      </c>
      <c r="L32" s="106">
        <f>AY28</f>
        <v>2.4570007062315852E-2</v>
      </c>
      <c r="M32" s="137"/>
      <c r="N32" s="59" t="s">
        <v>121</v>
      </c>
      <c r="W32" s="1" t="s">
        <v>122</v>
      </c>
      <c r="AS32" s="25">
        <f>Y16</f>
        <v>3.8710892007412906E-3</v>
      </c>
      <c r="AT32" s="3" t="s">
        <v>111</v>
      </c>
      <c r="AU32" s="3">
        <f>O12+O16</f>
        <v>100.08920000000001</v>
      </c>
      <c r="AV32" s="3">
        <f t="shared" si="7"/>
        <v>0.38745422123083523</v>
      </c>
      <c r="AW32" s="21">
        <v>2.71</v>
      </c>
      <c r="AX32" s="3">
        <f t="shared" si="2"/>
        <v>0.14297203735455175</v>
      </c>
      <c r="AY32" s="3">
        <f t="shared" si="3"/>
        <v>0.41243470225970491</v>
      </c>
      <c r="AZ32" s="3">
        <f t="shared" si="4"/>
        <v>1.1176980431238003E-2</v>
      </c>
    </row>
    <row r="33" spans="1:53" x14ac:dyDescent="0.2">
      <c r="A33" s="135"/>
      <c r="B33" s="136"/>
      <c r="C33" s="133"/>
      <c r="D33" s="133"/>
      <c r="E33" s="138"/>
      <c r="F33" s="138"/>
      <c r="G33" s="138"/>
      <c r="H33" s="131"/>
      <c r="I33" s="131"/>
      <c r="J33" s="31" t="s">
        <v>103</v>
      </c>
      <c r="K33" s="112">
        <f>AV24*AV39</f>
        <v>1.8795465915066735E-2</v>
      </c>
      <c r="L33" s="106">
        <f>AY24</f>
        <v>2.496724712165858E-2</v>
      </c>
      <c r="M33" s="137"/>
      <c r="N33" s="60"/>
      <c r="O33" s="61" t="s">
        <v>123</v>
      </c>
      <c r="P33" s="61" t="s">
        <v>124</v>
      </c>
      <c r="Q33" s="62" t="s">
        <v>125</v>
      </c>
      <c r="R33" s="61" t="s">
        <v>126</v>
      </c>
      <c r="S33" s="62" t="s">
        <v>127</v>
      </c>
      <c r="T33" s="61" t="s">
        <v>128</v>
      </c>
      <c r="U33" s="63">
        <f>(K53-1400)*0.00001</f>
        <v>-3.6358829973153093E-3</v>
      </c>
      <c r="V33" s="10"/>
      <c r="W33" s="64"/>
      <c r="X33" s="61" t="s">
        <v>123</v>
      </c>
      <c r="Y33" s="61" t="s">
        <v>124</v>
      </c>
      <c r="Z33" s="61" t="s">
        <v>126</v>
      </c>
      <c r="AA33" s="65" t="s">
        <v>129</v>
      </c>
      <c r="AB33" s="65" t="s">
        <v>130</v>
      </c>
      <c r="AC33" s="65" t="s">
        <v>131</v>
      </c>
      <c r="AD33" s="65"/>
      <c r="AE33" s="65" t="s">
        <v>132</v>
      </c>
      <c r="AF33" s="63"/>
      <c r="AS33" s="25">
        <f>Y17</f>
        <v>0</v>
      </c>
      <c r="AT33" s="3" t="s">
        <v>116</v>
      </c>
      <c r="AU33" s="3">
        <f>O13+O16</f>
        <v>105.98869999999999</v>
      </c>
      <c r="AV33" s="3">
        <f t="shared" si="7"/>
        <v>0</v>
      </c>
      <c r="AW33" s="21">
        <v>2.5299999999999998</v>
      </c>
      <c r="AX33" s="3">
        <f t="shared" si="2"/>
        <v>0</v>
      </c>
      <c r="AY33" s="3">
        <f t="shared" si="3"/>
        <v>0</v>
      </c>
      <c r="AZ33" s="3">
        <f t="shared" si="4"/>
        <v>0</v>
      </c>
    </row>
    <row r="34" spans="1:53" x14ac:dyDescent="0.2">
      <c r="A34" s="135"/>
      <c r="B34" s="136"/>
      <c r="C34" s="133"/>
      <c r="D34" s="133"/>
      <c r="E34" s="131"/>
      <c r="F34" s="131"/>
      <c r="G34" s="131"/>
      <c r="H34" s="131"/>
      <c r="I34" s="131"/>
      <c r="J34" s="31" t="s">
        <v>105</v>
      </c>
      <c r="K34" s="112">
        <f>AV25*AV39</f>
        <v>8.2853922541974392E-2</v>
      </c>
      <c r="L34" s="106">
        <f>AY25</f>
        <v>7.5104031822630951E-2</v>
      </c>
      <c r="M34" s="137"/>
      <c r="N34" s="66" t="s">
        <v>50</v>
      </c>
      <c r="O34" s="67">
        <f t="shared" ref="O34:O43" si="19">H6</f>
        <v>59.661118370514494</v>
      </c>
      <c r="P34" s="67">
        <f t="shared" ref="P34:P43" si="20">O34*(100/O$44)</f>
        <v>60.013896154788959</v>
      </c>
      <c r="Q34" s="68">
        <f t="shared" ref="Q34:Q43" si="21">P34/O5</f>
        <v>0.99882824889012534</v>
      </c>
      <c r="R34" s="69">
        <v>1</v>
      </c>
      <c r="S34" s="68">
        <f t="shared" ref="S34:S43" si="22">Q34*R34</f>
        <v>0.99882824889012534</v>
      </c>
      <c r="T34" s="70" t="s">
        <v>134</v>
      </c>
      <c r="U34" s="71">
        <f>S34*27.03</f>
        <v>26.998327567500088</v>
      </c>
      <c r="V34" s="10"/>
      <c r="W34" s="22" t="s">
        <v>50</v>
      </c>
      <c r="X34" s="36">
        <f t="shared" ref="X34:X43" si="23">H6</f>
        <v>59.661118370514494</v>
      </c>
      <c r="Y34" s="36">
        <f t="shared" ref="Y34:Y44" si="24">X34*(100/X$45)</f>
        <v>60.013896154788959</v>
      </c>
      <c r="Z34" s="69">
        <v>1</v>
      </c>
      <c r="AA34" s="72">
        <f t="shared" ref="AA34:AA44" si="25">(Y34/O5)*Z34</f>
        <v>0.99882824889012534</v>
      </c>
      <c r="AB34" s="72">
        <f t="shared" ref="AB34:AB44" si="26">AA34*(1/AA$45)</f>
        <v>0.56085490979638064</v>
      </c>
      <c r="AC34" s="73" t="s">
        <v>135</v>
      </c>
      <c r="AD34" s="72">
        <f>AB34+AB35+AB36+AD37+AB41+((AD42+AB44)/2)</f>
        <v>0.96637396409666487</v>
      </c>
      <c r="AE34" s="74" t="s">
        <v>136</v>
      </c>
      <c r="AF34" s="75">
        <f>AB36*6.7</f>
        <v>1.1962115687705253</v>
      </c>
      <c r="AS34" s="25">
        <f>AC7</f>
        <v>0</v>
      </c>
      <c r="AT34" s="3" t="s">
        <v>75</v>
      </c>
      <c r="AU34" s="3">
        <f>O7</f>
        <v>101.96129999999999</v>
      </c>
      <c r="AV34" s="3">
        <f t="shared" si="7"/>
        <v>0</v>
      </c>
      <c r="AW34" s="21">
        <v>3.98</v>
      </c>
      <c r="AX34" s="3">
        <f t="shared" si="2"/>
        <v>0</v>
      </c>
      <c r="AY34" s="3">
        <f t="shared" si="3"/>
        <v>0</v>
      </c>
      <c r="AZ34" s="3">
        <f t="shared" si="4"/>
        <v>0</v>
      </c>
    </row>
    <row r="35" spans="1:53" x14ac:dyDescent="0.2">
      <c r="A35" s="135"/>
      <c r="B35" s="136"/>
      <c r="C35" s="133"/>
      <c r="D35" s="133"/>
      <c r="E35" s="131"/>
      <c r="F35" s="131"/>
      <c r="G35" s="131"/>
      <c r="H35" s="131"/>
      <c r="I35" s="131"/>
      <c r="J35" s="31" t="s">
        <v>107</v>
      </c>
      <c r="K35" s="112">
        <f>AV26*AV39</f>
        <v>0</v>
      </c>
      <c r="L35" s="106">
        <f>AY26</f>
        <v>0</v>
      </c>
      <c r="M35" s="137"/>
      <c r="N35" s="66" t="s">
        <v>54</v>
      </c>
      <c r="O35" s="67">
        <f t="shared" si="19"/>
        <v>0.32900958444778516</v>
      </c>
      <c r="P35" s="67">
        <f t="shared" si="20"/>
        <v>0.33095502689634498</v>
      </c>
      <c r="Q35" s="68">
        <f t="shared" si="21"/>
        <v>4.1421776909834063E-3</v>
      </c>
      <c r="R35" s="69">
        <v>1</v>
      </c>
      <c r="S35" s="68">
        <f t="shared" si="22"/>
        <v>4.1421776909834063E-3</v>
      </c>
      <c r="T35" s="70" t="s">
        <v>137</v>
      </c>
      <c r="U35" s="71">
        <f>S35*22.6*(1+(U$33*26.7))</f>
        <v>8.452542493396209E-2</v>
      </c>
      <c r="V35" s="10"/>
      <c r="W35" s="30" t="s">
        <v>54</v>
      </c>
      <c r="X35" s="36">
        <f t="shared" si="23"/>
        <v>0.32900958444778516</v>
      </c>
      <c r="Y35" s="36">
        <f t="shared" si="24"/>
        <v>0.33095502689634498</v>
      </c>
      <c r="Z35" s="69">
        <v>1</v>
      </c>
      <c r="AA35" s="72">
        <f t="shared" si="25"/>
        <v>4.1421776909834063E-3</v>
      </c>
      <c r="AB35" s="72">
        <f t="shared" si="26"/>
        <v>2.3258860548032363E-3</v>
      </c>
      <c r="AC35" s="73"/>
      <c r="AD35" s="72"/>
      <c r="AE35" s="74" t="s">
        <v>138</v>
      </c>
      <c r="AF35" s="75">
        <f>AD37*3.4</f>
        <v>0.41208102263261037</v>
      </c>
      <c r="AS35" s="25">
        <f>AD18</f>
        <v>0</v>
      </c>
      <c r="AT35" s="3" t="s">
        <v>93</v>
      </c>
      <c r="AU35" s="3">
        <f>O6</f>
        <v>79.898799999999994</v>
      </c>
      <c r="AV35" s="3">
        <f t="shared" si="7"/>
        <v>0</v>
      </c>
      <c r="AW35" s="21">
        <v>4.2</v>
      </c>
      <c r="AX35" s="3">
        <f t="shared" si="2"/>
        <v>0</v>
      </c>
      <c r="AY35" s="3">
        <f t="shared" si="3"/>
        <v>0</v>
      </c>
      <c r="AZ35" s="3">
        <f t="shared" si="4"/>
        <v>0</v>
      </c>
    </row>
    <row r="36" spans="1:53" x14ac:dyDescent="0.2">
      <c r="A36" s="135"/>
      <c r="B36" s="136"/>
      <c r="C36" s="133"/>
      <c r="D36" s="133"/>
      <c r="E36" s="131"/>
      <c r="F36" s="131"/>
      <c r="G36" s="131"/>
      <c r="H36" s="131"/>
      <c r="I36" s="131"/>
      <c r="J36" s="31" t="s">
        <v>133</v>
      </c>
      <c r="K36" s="112">
        <f>AV27*AV39</f>
        <v>8.8966484090211934E-2</v>
      </c>
      <c r="L36" s="106">
        <f>AY27</f>
        <v>9.5690523765868243E-2</v>
      </c>
      <c r="M36" s="137"/>
      <c r="N36" s="66" t="s">
        <v>58</v>
      </c>
      <c r="O36" s="67">
        <f t="shared" si="19"/>
        <v>16.114558896350886</v>
      </c>
      <c r="P36" s="67">
        <f t="shared" si="20"/>
        <v>16.209844712930963</v>
      </c>
      <c r="Q36" s="68">
        <f t="shared" si="21"/>
        <v>0.15898036522612954</v>
      </c>
      <c r="R36" s="69">
        <v>2</v>
      </c>
      <c r="S36" s="68">
        <f t="shared" si="22"/>
        <v>0.31796073045225909</v>
      </c>
      <c r="T36" s="70" t="s">
        <v>139</v>
      </c>
      <c r="U36" s="71">
        <f>S36*18.315*(1+(U$33*14.7))</f>
        <v>5.5122020088800028</v>
      </c>
      <c r="V36" s="10"/>
      <c r="W36" s="30" t="s">
        <v>58</v>
      </c>
      <c r="X36" s="36">
        <f t="shared" si="23"/>
        <v>16.114558896350886</v>
      </c>
      <c r="Y36" s="36">
        <f t="shared" si="24"/>
        <v>16.209844712930963</v>
      </c>
      <c r="Z36" s="69">
        <v>2</v>
      </c>
      <c r="AA36" s="72">
        <f t="shared" si="25"/>
        <v>0.31796073045225909</v>
      </c>
      <c r="AB36" s="72">
        <f t="shared" si="26"/>
        <v>0.17853904011500377</v>
      </c>
      <c r="AC36" s="73"/>
      <c r="AD36" s="72"/>
      <c r="AE36" s="74" t="s">
        <v>140</v>
      </c>
      <c r="AF36" s="75">
        <f>(AB35+AB41)*4.5</f>
        <v>0.32469154878441692</v>
      </c>
      <c r="AS36" s="25">
        <f>AF8</f>
        <v>7.235083423990674E-3</v>
      </c>
      <c r="AT36" s="3" t="s">
        <v>98</v>
      </c>
      <c r="AU36" s="3">
        <f>O9+O8</f>
        <v>231.53860000000003</v>
      </c>
      <c r="AV36" s="3">
        <f t="shared" si="7"/>
        <v>1.6752010868740073</v>
      </c>
      <c r="AW36" s="21">
        <v>5.2</v>
      </c>
      <c r="AX36" s="3">
        <f t="shared" si="2"/>
        <v>0.32215405516807832</v>
      </c>
      <c r="AY36" s="3">
        <f t="shared" si="3"/>
        <v>0.92932516234282292</v>
      </c>
      <c r="AZ36" s="3">
        <f t="shared" si="4"/>
        <v>4.832490844182679E-2</v>
      </c>
    </row>
    <row r="37" spans="1:53" x14ac:dyDescent="0.2">
      <c r="A37" s="135"/>
      <c r="B37" s="136"/>
      <c r="C37" s="133"/>
      <c r="D37" s="133"/>
      <c r="E37" s="131"/>
      <c r="F37" s="131"/>
      <c r="G37" s="131"/>
      <c r="H37" s="131"/>
      <c r="I37" s="131"/>
      <c r="J37" s="31" t="s">
        <v>111</v>
      </c>
      <c r="K37" s="112">
        <f>AV32*AV39</f>
        <v>0.38774588064708171</v>
      </c>
      <c r="L37" s="106">
        <f>AY32</f>
        <v>0.41243470225970491</v>
      </c>
      <c r="M37" s="131"/>
      <c r="N37" s="66" t="s">
        <v>61</v>
      </c>
      <c r="O37" s="67">
        <f t="shared" si="19"/>
        <v>1.1553863891606035</v>
      </c>
      <c r="P37" s="67">
        <f t="shared" si="20"/>
        <v>1.1622182196974979</v>
      </c>
      <c r="Q37" s="68">
        <f t="shared" si="21"/>
        <v>7.2778646652591535E-3</v>
      </c>
      <c r="R37" s="69">
        <v>2</v>
      </c>
      <c r="S37" s="68">
        <f t="shared" si="22"/>
        <v>1.4555729330518307E-2</v>
      </c>
      <c r="T37" s="70" t="s">
        <v>141</v>
      </c>
      <c r="U37" s="71">
        <f>S37*21.865*(1+(U$33*12.1))</f>
        <v>0.30425938777302752</v>
      </c>
      <c r="V37" s="10"/>
      <c r="W37" s="30" t="s">
        <v>61</v>
      </c>
      <c r="X37" s="36">
        <f t="shared" si="23"/>
        <v>1.1553863891606035</v>
      </c>
      <c r="Y37" s="36">
        <f t="shared" si="24"/>
        <v>1.1622182196974979</v>
      </c>
      <c r="Z37" s="69">
        <v>2</v>
      </c>
      <c r="AA37" s="72">
        <f t="shared" si="25"/>
        <v>1.4555729330518307E-2</v>
      </c>
      <c r="AB37" s="72">
        <f t="shared" si="26"/>
        <v>8.1732292511346536E-3</v>
      </c>
      <c r="AC37" s="73" t="s">
        <v>142</v>
      </c>
      <c r="AD37" s="72">
        <f>AB37+AB38+AB39+AB40</f>
        <v>0.12120030077429716</v>
      </c>
      <c r="AE37" s="74" t="s">
        <v>143</v>
      </c>
      <c r="AF37" s="75">
        <f>AD42*1.4</f>
        <v>9.4152900529337988E-2</v>
      </c>
      <c r="AS37" s="55">
        <f>AF22</f>
        <v>0</v>
      </c>
      <c r="AT37" s="11" t="s">
        <v>101</v>
      </c>
      <c r="AU37" s="11">
        <f>O8</f>
        <v>159.69220000000001</v>
      </c>
      <c r="AV37" s="11">
        <f t="shared" si="7"/>
        <v>0</v>
      </c>
      <c r="AW37" s="54">
        <v>5.25</v>
      </c>
      <c r="AX37" s="11">
        <f t="shared" si="2"/>
        <v>0</v>
      </c>
      <c r="AY37" s="11">
        <f t="shared" si="3"/>
        <v>0</v>
      </c>
      <c r="AZ37" s="11">
        <f t="shared" si="4"/>
        <v>0</v>
      </c>
    </row>
    <row r="38" spans="1:53" x14ac:dyDescent="0.2">
      <c r="A38" s="135"/>
      <c r="B38" s="136"/>
      <c r="C38" s="133"/>
      <c r="D38" s="133"/>
      <c r="E38" s="131"/>
      <c r="F38" s="131"/>
      <c r="G38" s="131"/>
      <c r="H38" s="131"/>
      <c r="I38" s="131"/>
      <c r="J38" s="33" t="s">
        <v>116</v>
      </c>
      <c r="K38" s="104">
        <f>AV33*AV39</f>
        <v>0</v>
      </c>
      <c r="L38" s="116">
        <f>AY33</f>
        <v>0</v>
      </c>
      <c r="M38" s="146"/>
      <c r="N38" s="66" t="s">
        <v>65</v>
      </c>
      <c r="O38" s="67">
        <f t="shared" si="19"/>
        <v>7.6239796286564809</v>
      </c>
      <c r="P38" s="67">
        <f t="shared" si="20"/>
        <v>7.6690604235562345</v>
      </c>
      <c r="Q38" s="68">
        <f t="shared" si="21"/>
        <v>0.10674244532163385</v>
      </c>
      <c r="R38" s="69">
        <v>1</v>
      </c>
      <c r="S38" s="68">
        <f t="shared" si="22"/>
        <v>0.10674244532163385</v>
      </c>
      <c r="T38" s="70" t="s">
        <v>145</v>
      </c>
      <c r="U38" s="71">
        <f>(S38+S39)*13.85*(1+(U$33*31.2))</f>
        <v>1.3357488301497349</v>
      </c>
      <c r="V38" s="10"/>
      <c r="W38" s="30" t="s">
        <v>65</v>
      </c>
      <c r="X38" s="36">
        <f t="shared" si="23"/>
        <v>7.6239796286564809</v>
      </c>
      <c r="Y38" s="36">
        <f t="shared" si="24"/>
        <v>7.6690604235562345</v>
      </c>
      <c r="Z38" s="69">
        <v>1</v>
      </c>
      <c r="AA38" s="72">
        <f t="shared" si="25"/>
        <v>0.10674244532163385</v>
      </c>
      <c r="AB38" s="72">
        <f t="shared" si="26"/>
        <v>5.9937256088654765E-2</v>
      </c>
      <c r="AC38" s="73"/>
      <c r="AD38" s="72"/>
      <c r="AE38" s="74"/>
      <c r="AF38" s="75"/>
      <c r="AT38" s="3" t="s">
        <v>108</v>
      </c>
      <c r="AV38" s="21">
        <f>SUM(AV5:AV37)</f>
        <v>99.92478078277459</v>
      </c>
      <c r="AW38" s="21"/>
      <c r="AX38" s="77">
        <f>SUM(AX5:AX37)</f>
        <v>34.665375287582869</v>
      </c>
      <c r="AY38" s="21">
        <f>SUM(AY5:AY37)</f>
        <v>100</v>
      </c>
      <c r="AZ38" s="21">
        <f>SUM(AZ5:AZ37)</f>
        <v>2.8825529784057342</v>
      </c>
      <c r="BA38" s="3" t="s">
        <v>146</v>
      </c>
    </row>
    <row r="39" spans="1:53" x14ac:dyDescent="0.2">
      <c r="A39" s="135"/>
      <c r="B39" s="136"/>
      <c r="C39" s="133"/>
      <c r="D39" s="133"/>
      <c r="E39" s="133"/>
      <c r="F39" s="133"/>
      <c r="G39" s="133"/>
      <c r="H39" s="131"/>
      <c r="I39" s="131"/>
      <c r="J39" s="33" t="s">
        <v>108</v>
      </c>
      <c r="K39" s="104">
        <f>SUM(K6:K7,K10:K38)</f>
        <v>99.999999999999957</v>
      </c>
      <c r="L39" s="116">
        <f>SUM(L6:L7,L10:L38)</f>
        <v>100</v>
      </c>
      <c r="M39" s="146"/>
      <c r="N39" s="30" t="s">
        <v>69</v>
      </c>
      <c r="O39" s="67">
        <f t="shared" si="19"/>
        <v>0.14400045233587722</v>
      </c>
      <c r="P39" s="67">
        <f t="shared" si="20"/>
        <v>0.1448519308514841</v>
      </c>
      <c r="Q39" s="68">
        <f t="shared" si="21"/>
        <v>2.041968423588743E-3</v>
      </c>
      <c r="R39" s="69">
        <v>1</v>
      </c>
      <c r="S39" s="68">
        <f t="shared" si="22"/>
        <v>2.041968423588743E-3</v>
      </c>
      <c r="T39" s="70" t="s">
        <v>148</v>
      </c>
      <c r="U39" s="71"/>
      <c r="V39" s="10"/>
      <c r="W39" s="30" t="s">
        <v>69</v>
      </c>
      <c r="X39" s="36">
        <f t="shared" si="23"/>
        <v>0.14400045233587722</v>
      </c>
      <c r="Y39" s="36">
        <f t="shared" si="24"/>
        <v>0.1448519308514841</v>
      </c>
      <c r="Z39" s="69">
        <v>1</v>
      </c>
      <c r="AA39" s="72">
        <f t="shared" si="25"/>
        <v>2.041968423588743E-3</v>
      </c>
      <c r="AB39" s="72">
        <f t="shared" si="26"/>
        <v>1.1465915359237136E-3</v>
      </c>
      <c r="AC39" s="73"/>
      <c r="AD39" s="72"/>
      <c r="AE39" s="74" t="s">
        <v>149</v>
      </c>
      <c r="AF39" s="75">
        <f>(AF34+AF35+AF36+AF37)*(AB34/AD34)</f>
        <v>1.1764904730012451</v>
      </c>
      <c r="AV39" s="3">
        <f>H27/AV38</f>
        <v>1.0007527583912235</v>
      </c>
      <c r="AW39" s="3" t="s">
        <v>178</v>
      </c>
    </row>
    <row r="40" spans="1:53" x14ac:dyDescent="0.2">
      <c r="A40" s="135"/>
      <c r="B40" s="136"/>
      <c r="C40" s="133"/>
      <c r="D40" s="133"/>
      <c r="E40" s="133"/>
      <c r="F40" s="133"/>
      <c r="G40" s="133"/>
      <c r="H40" s="26" t="s">
        <v>144</v>
      </c>
      <c r="I40" s="76"/>
      <c r="J40" s="76"/>
      <c r="K40" s="117">
        <f>IF(P8&gt;0,100*((P8*2)/((P8*2)+P9)),"0.0")</f>
        <v>11.999957437331519</v>
      </c>
      <c r="L40" s="118">
        <f t="shared" ref="L40:L45" si="27">K40</f>
        <v>11.999957437331519</v>
      </c>
      <c r="M40" s="146"/>
      <c r="N40" s="30" t="s">
        <v>72</v>
      </c>
      <c r="O40" s="67">
        <f t="shared" si="19"/>
        <v>3.7064762312178683</v>
      </c>
      <c r="P40" s="67">
        <f t="shared" si="20"/>
        <v>3.7283927240364347</v>
      </c>
      <c r="Q40" s="68">
        <f t="shared" si="21"/>
        <v>9.2505848593117238E-2</v>
      </c>
      <c r="R40" s="69">
        <v>1</v>
      </c>
      <c r="S40" s="68">
        <f t="shared" si="22"/>
        <v>9.2505848593117238E-2</v>
      </c>
      <c r="T40" s="70" t="s">
        <v>151</v>
      </c>
      <c r="U40" s="71">
        <f>S40*11.43*(1+(U$33*9.4))</f>
        <v>1.0212047596443856</v>
      </c>
      <c r="V40" s="10"/>
      <c r="W40" s="30" t="s">
        <v>72</v>
      </c>
      <c r="X40" s="36">
        <f t="shared" si="23"/>
        <v>3.7064762312178683</v>
      </c>
      <c r="Y40" s="36">
        <f t="shared" si="24"/>
        <v>3.7283927240364347</v>
      </c>
      <c r="Z40" s="69">
        <v>1</v>
      </c>
      <c r="AA40" s="72">
        <f t="shared" si="25"/>
        <v>9.2505848593117238E-2</v>
      </c>
      <c r="AB40" s="72">
        <f t="shared" si="26"/>
        <v>5.1943223898584044E-2</v>
      </c>
      <c r="AC40" s="73"/>
      <c r="AD40" s="72"/>
      <c r="AE40" s="74" t="s">
        <v>152</v>
      </c>
      <c r="AF40" s="75">
        <f>((AF39/(1-(AB34/AD34)))*((10000/(K53+273.15))-1.5))-6.4</f>
        <v>10.803539934488965</v>
      </c>
    </row>
    <row r="41" spans="1:53" x14ac:dyDescent="0.2">
      <c r="A41" s="135"/>
      <c r="B41" s="136"/>
      <c r="C41" s="133"/>
      <c r="D41" s="133"/>
      <c r="E41" s="133"/>
      <c r="F41" s="133"/>
      <c r="G41" s="133"/>
      <c r="H41" s="31" t="s">
        <v>147</v>
      </c>
      <c r="I41" s="73"/>
      <c r="J41" s="73"/>
      <c r="K41" s="119">
        <f>IF(P11&gt;0,100*(P11/(P11+P9+(P8*2))),"0.0")</f>
        <v>43.266654756537186</v>
      </c>
      <c r="L41" s="120">
        <f t="shared" si="27"/>
        <v>43.266654756537186</v>
      </c>
      <c r="M41" s="146"/>
      <c r="N41" s="30" t="s">
        <v>76</v>
      </c>
      <c r="O41" s="67">
        <f t="shared" si="19"/>
        <v>6.9328455125398145</v>
      </c>
      <c r="P41" s="67">
        <f t="shared" si="20"/>
        <v>6.9738396129762501</v>
      </c>
      <c r="Q41" s="68">
        <f t="shared" si="21"/>
        <v>0.12435653043677804</v>
      </c>
      <c r="R41" s="69">
        <v>1</v>
      </c>
      <c r="S41" s="68">
        <f t="shared" si="22"/>
        <v>0.12435653043677804</v>
      </c>
      <c r="T41" s="70" t="s">
        <v>154</v>
      </c>
      <c r="U41" s="71">
        <f>S41*16.32*(1+(U$33*38.4))</f>
        <v>1.7461442329892702</v>
      </c>
      <c r="V41" s="10"/>
      <c r="W41" s="30" t="s">
        <v>76</v>
      </c>
      <c r="X41" s="36">
        <f t="shared" si="23"/>
        <v>6.9328455125398145</v>
      </c>
      <c r="Y41" s="36">
        <f t="shared" si="24"/>
        <v>6.9738396129762501</v>
      </c>
      <c r="Z41" s="69">
        <v>1</v>
      </c>
      <c r="AA41" s="72">
        <f t="shared" si="25"/>
        <v>0.12435653043677804</v>
      </c>
      <c r="AB41" s="72">
        <f t="shared" si="26"/>
        <v>6.982779145284497E-2</v>
      </c>
      <c r="AC41" s="73"/>
      <c r="AD41" s="72"/>
      <c r="AE41" s="74"/>
      <c r="AF41" s="75"/>
    </row>
    <row r="42" spans="1:53" x14ac:dyDescent="0.2">
      <c r="A42" s="135"/>
      <c r="B42" s="136"/>
      <c r="C42" s="133"/>
      <c r="D42" s="133"/>
      <c r="E42" s="133"/>
      <c r="F42" s="133"/>
      <c r="G42" s="133"/>
      <c r="H42" s="31" t="s">
        <v>150</v>
      </c>
      <c r="I42" s="73"/>
      <c r="J42" s="73"/>
      <c r="K42" s="119">
        <f>IF(P11&gt;0,100*P11/(P11+P9),"0.0")</f>
        <v>46.427423179189731</v>
      </c>
      <c r="L42" s="120">
        <f t="shared" si="27"/>
        <v>46.427423179189731</v>
      </c>
      <c r="M42" s="146"/>
      <c r="N42" s="30" t="s">
        <v>78</v>
      </c>
      <c r="O42" s="67">
        <f t="shared" si="19"/>
        <v>3.5839100076254313</v>
      </c>
      <c r="P42" s="67">
        <f t="shared" si="20"/>
        <v>3.6051017630946691</v>
      </c>
      <c r="Q42" s="68">
        <f t="shared" si="21"/>
        <v>5.8166598037310585E-2</v>
      </c>
      <c r="R42" s="69">
        <v>2</v>
      </c>
      <c r="S42" s="68">
        <f t="shared" si="22"/>
        <v>0.11633319607462117</v>
      </c>
      <c r="T42" s="70" t="s">
        <v>156</v>
      </c>
      <c r="U42" s="71">
        <f>S42*14.39*(1+(U$33*23.5))</f>
        <v>1.5309997261267101</v>
      </c>
      <c r="V42" s="10"/>
      <c r="W42" s="30" t="s">
        <v>78</v>
      </c>
      <c r="X42" s="36">
        <f t="shared" si="23"/>
        <v>3.5839100076254313</v>
      </c>
      <c r="Y42" s="36">
        <f t="shared" si="24"/>
        <v>3.6051017630946691</v>
      </c>
      <c r="Z42" s="69">
        <v>2</v>
      </c>
      <c r="AA42" s="72">
        <f t="shared" si="25"/>
        <v>0.11633319607462117</v>
      </c>
      <c r="AB42" s="72">
        <f t="shared" si="26"/>
        <v>6.5322586003405694E-2</v>
      </c>
      <c r="AC42" s="73" t="s">
        <v>157</v>
      </c>
      <c r="AD42" s="72">
        <f>AB42+AB43</f>
        <v>6.7252071806669991E-2</v>
      </c>
      <c r="AE42" s="74"/>
      <c r="AF42" s="75"/>
    </row>
    <row r="43" spans="1:53" x14ac:dyDescent="0.2">
      <c r="A43" s="135"/>
      <c r="B43" s="136"/>
      <c r="C43" s="133"/>
      <c r="D43" s="133"/>
      <c r="E43" s="133"/>
      <c r="F43" s="133"/>
      <c r="G43" s="133"/>
      <c r="H43" s="31" t="s">
        <v>153</v>
      </c>
      <c r="I43" s="73"/>
      <c r="J43" s="73"/>
      <c r="K43" s="119">
        <f>100*AG30</f>
        <v>48.761280141320469</v>
      </c>
      <c r="L43" s="120">
        <f t="shared" si="27"/>
        <v>48.761280141320469</v>
      </c>
      <c r="M43" s="146"/>
      <c r="N43" s="53" t="s">
        <v>80</v>
      </c>
      <c r="O43" s="78">
        <f t="shared" si="19"/>
        <v>0.16088809557066977</v>
      </c>
      <c r="P43" s="78">
        <f t="shared" si="20"/>
        <v>0.1618394311711705</v>
      </c>
      <c r="Q43" s="79">
        <f t="shared" si="21"/>
        <v>1.7181136265995425E-3</v>
      </c>
      <c r="R43" s="80">
        <v>2</v>
      </c>
      <c r="S43" s="79">
        <f t="shared" si="22"/>
        <v>3.436227253199085E-3</v>
      </c>
      <c r="T43" s="81" t="s">
        <v>158</v>
      </c>
      <c r="U43" s="82">
        <f>S43*22.965*(1+(U$33*24.9))</f>
        <v>7.1768693562703045E-2</v>
      </c>
      <c r="V43" s="10"/>
      <c r="W43" s="30" t="s">
        <v>80</v>
      </c>
      <c r="X43" s="36">
        <f t="shared" si="23"/>
        <v>0.16088809557066977</v>
      </c>
      <c r="Y43" s="36">
        <f t="shared" si="24"/>
        <v>0.1618394311711705</v>
      </c>
      <c r="Z43" s="69">
        <v>2</v>
      </c>
      <c r="AA43" s="72">
        <f t="shared" si="25"/>
        <v>3.436227253199085E-3</v>
      </c>
      <c r="AB43" s="72">
        <f t="shared" si="26"/>
        <v>1.9294858032643E-3</v>
      </c>
      <c r="AC43" s="73"/>
      <c r="AD43" s="72"/>
      <c r="AE43" s="74"/>
      <c r="AF43" s="75"/>
    </row>
    <row r="44" spans="1:53" x14ac:dyDescent="0.2">
      <c r="A44" s="135"/>
      <c r="B44" s="136"/>
      <c r="C44" s="133"/>
      <c r="D44" s="133"/>
      <c r="E44" s="133"/>
      <c r="F44" s="133"/>
      <c r="G44" s="133"/>
      <c r="H44" s="31" t="s">
        <v>155</v>
      </c>
      <c r="I44" s="73"/>
      <c r="J44" s="73"/>
      <c r="K44" s="119">
        <f>IF(P12&gt;0,100*P12/(P12+(P13*2)),"0.0")</f>
        <v>51.666738019617327</v>
      </c>
      <c r="L44" s="120">
        <f t="shared" si="27"/>
        <v>51.666738019617327</v>
      </c>
      <c r="M44" s="146"/>
      <c r="N44" s="53" t="s">
        <v>46</v>
      </c>
      <c r="O44" s="54">
        <f>SUM(O34:O43)</f>
        <v>99.412173168419898</v>
      </c>
      <c r="P44" s="54">
        <f>SUM(P34:P43)</f>
        <v>100.00000000000001</v>
      </c>
      <c r="Q44" s="11"/>
      <c r="R44" s="11"/>
      <c r="S44" s="11"/>
      <c r="T44" s="11"/>
      <c r="U44" s="82">
        <f>100/SUM(U34:U43)</f>
        <v>2.5903259190620034</v>
      </c>
      <c r="V44" s="10"/>
      <c r="W44" s="31" t="s">
        <v>83</v>
      </c>
      <c r="X44" s="10">
        <v>0</v>
      </c>
      <c r="Y44" s="36">
        <f t="shared" si="24"/>
        <v>0</v>
      </c>
      <c r="Z44" s="10">
        <v>2</v>
      </c>
      <c r="AA44" s="10">
        <f t="shared" si="25"/>
        <v>0</v>
      </c>
      <c r="AB44" s="72">
        <f t="shared" si="26"/>
        <v>0</v>
      </c>
      <c r="AC44" s="10"/>
      <c r="AD44" s="72"/>
      <c r="AE44" s="72"/>
      <c r="AF44" s="75"/>
    </row>
    <row r="45" spans="1:53" x14ac:dyDescent="0.2">
      <c r="A45" s="135"/>
      <c r="B45" s="136"/>
      <c r="C45" s="133"/>
      <c r="D45" s="133"/>
      <c r="E45" s="133"/>
      <c r="F45" s="133"/>
      <c r="G45" s="133"/>
      <c r="H45" s="33" t="s">
        <v>174</v>
      </c>
      <c r="I45" s="11"/>
      <c r="J45" s="5"/>
      <c r="K45" s="121">
        <f>IF(AN27&gt;0,100*AN27,"0.0")</f>
        <v>46.440204427244488</v>
      </c>
      <c r="L45" s="122">
        <f t="shared" si="27"/>
        <v>46.440204427244488</v>
      </c>
      <c r="M45" s="133"/>
      <c r="N45" s="58"/>
      <c r="W45" s="33" t="s">
        <v>108</v>
      </c>
      <c r="X45" s="54">
        <f>SUM(X34:X44)</f>
        <v>99.412173168419898</v>
      </c>
      <c r="Y45" s="54">
        <f>SUM(Y34:Y44)</f>
        <v>100.00000000000001</v>
      </c>
      <c r="Z45" s="11"/>
      <c r="AA45" s="83">
        <f>SUM(AA34:AA44)</f>
        <v>1.7809031024668245</v>
      </c>
      <c r="AB45" s="83">
        <f>SUM(AB34:AB44)</f>
        <v>0.99999999999999978</v>
      </c>
      <c r="AC45" s="5"/>
      <c r="AD45" s="11"/>
      <c r="AE45" s="5" t="s">
        <v>161</v>
      </c>
      <c r="AF45" s="84">
        <f>(AF40/2.303)</f>
        <v>4.6910724856660728</v>
      </c>
    </row>
    <row r="46" spans="1:53" x14ac:dyDescent="0.2">
      <c r="A46" s="135"/>
      <c r="B46" s="136"/>
      <c r="C46" s="133"/>
      <c r="D46" s="133"/>
      <c r="E46" s="133"/>
      <c r="F46" s="133"/>
      <c r="G46" s="133"/>
      <c r="H46" s="26" t="s">
        <v>159</v>
      </c>
      <c r="I46" s="85"/>
      <c r="J46" s="76"/>
      <c r="K46" s="117">
        <f>SUM(K6,K7,K10:K13)</f>
        <v>72.641517425209187</v>
      </c>
      <c r="L46" s="118">
        <f>SUM(L6,L7,L10:L13)</f>
        <v>78.248706422055307</v>
      </c>
      <c r="M46" s="131"/>
      <c r="N46" s="86" t="s">
        <v>166</v>
      </c>
      <c r="O46" s="11"/>
    </row>
    <row r="47" spans="1:53" x14ac:dyDescent="0.2">
      <c r="A47" s="135"/>
      <c r="B47" s="136"/>
      <c r="C47" s="133"/>
      <c r="D47" s="133"/>
      <c r="E47" s="133"/>
      <c r="F47" s="133"/>
      <c r="G47" s="133"/>
      <c r="H47" s="31" t="s">
        <v>180</v>
      </c>
      <c r="I47" s="10"/>
      <c r="J47" s="73"/>
      <c r="K47" s="123">
        <f>P7/((P12-3.33*P15)+P13+P14)</f>
        <v>0.87120509311522787</v>
      </c>
      <c r="L47" s="124">
        <f>K47</f>
        <v>0.87120509311522787</v>
      </c>
      <c r="M47" s="131"/>
      <c r="N47" s="26" t="s">
        <v>50</v>
      </c>
      <c r="O47" s="88">
        <f>B6</f>
        <v>59.532995831935445</v>
      </c>
      <c r="P47" s="28" t="s">
        <v>52</v>
      </c>
    </row>
    <row r="48" spans="1:53" x14ac:dyDescent="0.2">
      <c r="A48" s="135"/>
      <c r="B48" s="139"/>
      <c r="C48" s="133"/>
      <c r="D48" s="133"/>
      <c r="E48" s="133"/>
      <c r="F48" s="133"/>
      <c r="G48" s="133"/>
      <c r="H48" s="33" t="s">
        <v>181</v>
      </c>
      <c r="I48" s="11"/>
      <c r="J48" s="5"/>
      <c r="K48" s="121">
        <f>P7/(P13+P14)</f>
        <v>2.6547738280576878</v>
      </c>
      <c r="L48" s="122">
        <f>K48</f>
        <v>2.6547738280576878</v>
      </c>
      <c r="M48" s="131"/>
      <c r="N48" s="31" t="s">
        <v>54</v>
      </c>
      <c r="O48" s="88">
        <f>B7</f>
        <v>0.32830303478315265</v>
      </c>
      <c r="P48" s="32" t="s">
        <v>52</v>
      </c>
      <c r="W48" s="1" t="s">
        <v>162</v>
      </c>
    </row>
    <row r="49" spans="1:35" x14ac:dyDescent="0.2">
      <c r="A49" s="135"/>
      <c r="B49" s="139"/>
      <c r="C49" s="133"/>
      <c r="D49" s="133"/>
      <c r="E49" s="133"/>
      <c r="F49" s="133"/>
      <c r="G49" s="133"/>
      <c r="H49" s="33" t="s">
        <v>160</v>
      </c>
      <c r="I49" s="11"/>
      <c r="J49" s="5"/>
      <c r="K49" s="125">
        <f>L49</f>
        <v>2.8825529784057342</v>
      </c>
      <c r="L49" s="126">
        <f>AZ38</f>
        <v>2.8825529784057342</v>
      </c>
      <c r="M49" s="133"/>
      <c r="N49" s="31" t="s">
        <v>58</v>
      </c>
      <c r="O49" s="88">
        <f>B8</f>
        <v>16.079952803634686</v>
      </c>
      <c r="P49" s="32" t="s">
        <v>52</v>
      </c>
      <c r="W49" s="64"/>
      <c r="X49" s="61" t="s">
        <v>123</v>
      </c>
      <c r="Y49" s="65"/>
      <c r="Z49" s="65"/>
      <c r="AA49" s="65"/>
      <c r="AB49" s="61" t="s">
        <v>124</v>
      </c>
      <c r="AC49" s="61" t="s">
        <v>126</v>
      </c>
      <c r="AD49" s="65" t="s">
        <v>129</v>
      </c>
      <c r="AE49" s="65" t="s">
        <v>130</v>
      </c>
      <c r="AF49" s="65" t="s">
        <v>131</v>
      </c>
      <c r="AG49" s="65"/>
      <c r="AH49" s="65" t="s">
        <v>132</v>
      </c>
      <c r="AI49" s="63"/>
    </row>
    <row r="50" spans="1:35" x14ac:dyDescent="0.2">
      <c r="A50" s="135"/>
      <c r="B50" s="139"/>
      <c r="C50" s="133"/>
      <c r="D50" s="133"/>
      <c r="E50" s="133"/>
      <c r="F50" s="133"/>
      <c r="G50" s="133"/>
      <c r="H50" s="26" t="s">
        <v>167</v>
      </c>
      <c r="I50" s="85"/>
      <c r="J50" s="76"/>
      <c r="K50" s="127">
        <f>U44</f>
        <v>2.5903259190620034</v>
      </c>
      <c r="L50" s="128">
        <f>K50</f>
        <v>2.5903259190620034</v>
      </c>
      <c r="M50" s="133"/>
      <c r="N50" s="31" t="s">
        <v>61</v>
      </c>
      <c r="O50" s="88">
        <f>F10</f>
        <v>1.1529051913342467</v>
      </c>
      <c r="P50" s="32" t="s">
        <v>52</v>
      </c>
      <c r="W50" s="22" t="s">
        <v>50</v>
      </c>
      <c r="X50" s="36">
        <f t="shared" ref="X50:X60" si="28">H6</f>
        <v>59.661118370514494</v>
      </c>
      <c r="Y50" s="36">
        <f t="shared" ref="Y50:AB60" si="29">X50*(100/X$62)</f>
        <v>59.028468801121505</v>
      </c>
      <c r="Z50" s="36">
        <f t="shared" si="29"/>
        <v>59.083106491546857</v>
      </c>
      <c r="AA50" s="36">
        <f t="shared" si="29"/>
        <v>59.078436756645687</v>
      </c>
      <c r="AB50" s="36">
        <f t="shared" si="29"/>
        <v>59.078836236218471</v>
      </c>
      <c r="AC50" s="69">
        <v>1</v>
      </c>
      <c r="AD50" s="72">
        <f t="shared" ref="AD50:AD61" si="30">(AB50/O5)*AC50</f>
        <v>0.98326578217967875</v>
      </c>
      <c r="AE50" s="72">
        <f t="shared" ref="AE50:AE61" si="31">AD50*(1/AA$45)</f>
        <v>0.55211638455663559</v>
      </c>
      <c r="AF50" s="73" t="s">
        <v>135</v>
      </c>
      <c r="AG50" s="72">
        <f>AE50+AE51+AE52+AG53+AE57+((AG58+AE61)/2)+AE61</f>
        <v>0.97972522598218093</v>
      </c>
      <c r="AH50" s="74" t="s">
        <v>136</v>
      </c>
      <c r="AI50" s="75">
        <f>AE52*6.7</f>
        <v>1.1775737271412683</v>
      </c>
    </row>
    <row r="51" spans="1:35" s="24" customFormat="1" x14ac:dyDescent="0.2">
      <c r="A51" s="135"/>
      <c r="B51" s="139"/>
      <c r="C51" s="133"/>
      <c r="D51" s="133"/>
      <c r="E51" s="133"/>
      <c r="F51" s="133"/>
      <c r="G51" s="133"/>
      <c r="H51" s="30" t="s">
        <v>168</v>
      </c>
      <c r="I51" s="87"/>
      <c r="J51" s="87"/>
      <c r="K51" s="123">
        <f>AF45/10</f>
        <v>0.46910724856660729</v>
      </c>
      <c r="L51" s="124">
        <f>K51</f>
        <v>0.46910724856660729</v>
      </c>
      <c r="M51" s="133"/>
      <c r="N51" s="31" t="s">
        <v>65</v>
      </c>
      <c r="O51" s="88">
        <f>F11</f>
        <v>7.6076070957443056</v>
      </c>
      <c r="P51" s="32" t="s">
        <v>52</v>
      </c>
      <c r="W51" s="30" t="s">
        <v>54</v>
      </c>
      <c r="X51" s="91">
        <f t="shared" si="28"/>
        <v>0.32900958444778516</v>
      </c>
      <c r="Y51" s="91">
        <f t="shared" si="29"/>
        <v>0.32552074988329721</v>
      </c>
      <c r="Z51" s="91">
        <f t="shared" si="29"/>
        <v>0.32582205707151307</v>
      </c>
      <c r="AA51" s="91">
        <f t="shared" si="29"/>
        <v>0.32579630516505748</v>
      </c>
      <c r="AB51" s="91">
        <f t="shared" si="29"/>
        <v>0.32579850815105282</v>
      </c>
      <c r="AC51" s="92">
        <v>1</v>
      </c>
      <c r="AD51" s="93">
        <f t="shared" si="30"/>
        <v>4.0776395659390735E-3</v>
      </c>
      <c r="AE51" s="93">
        <f t="shared" si="31"/>
        <v>2.2896470674293934E-3</v>
      </c>
      <c r="AF51" s="94"/>
      <c r="AG51" s="93"/>
      <c r="AH51" s="95" t="s">
        <v>138</v>
      </c>
      <c r="AI51" s="96">
        <f>AG53*3.4</f>
        <v>0.40566050218392197</v>
      </c>
    </row>
    <row r="52" spans="1:35" x14ac:dyDescent="0.2">
      <c r="A52" s="135"/>
      <c r="B52" s="139"/>
      <c r="C52" s="133"/>
      <c r="D52" s="133"/>
      <c r="E52" s="133"/>
      <c r="F52" s="133"/>
      <c r="G52" s="133"/>
      <c r="H52" s="33" t="s">
        <v>169</v>
      </c>
      <c r="I52" s="11"/>
      <c r="J52" s="11"/>
      <c r="K52" s="125">
        <f>AI62/10</f>
        <v>0.42164513119546054</v>
      </c>
      <c r="L52" s="126">
        <f>K52</f>
        <v>0.42164513119546054</v>
      </c>
      <c r="M52" s="131"/>
      <c r="N52" s="31" t="s">
        <v>69</v>
      </c>
      <c r="O52" s="88">
        <f t="shared" ref="O52:O62" si="32">B11</f>
        <v>0.14369121067206486</v>
      </c>
      <c r="P52" s="32" t="s">
        <v>52</v>
      </c>
      <c r="W52" s="30" t="s">
        <v>58</v>
      </c>
      <c r="X52" s="36">
        <f t="shared" si="28"/>
        <v>16.114558896350886</v>
      </c>
      <c r="Y52" s="36">
        <f t="shared" si="29"/>
        <v>15.943679284550434</v>
      </c>
      <c r="Z52" s="36">
        <f t="shared" si="29"/>
        <v>15.958437007911435</v>
      </c>
      <c r="AA52" s="36">
        <f t="shared" si="29"/>
        <v>15.957175705405708</v>
      </c>
      <c r="AB52" s="36">
        <f t="shared" si="29"/>
        <v>15.957283605446461</v>
      </c>
      <c r="AC52" s="69">
        <v>2</v>
      </c>
      <c r="AD52" s="72">
        <f t="shared" si="30"/>
        <v>0.31300667224616519</v>
      </c>
      <c r="AE52" s="72">
        <f t="shared" si="31"/>
        <v>0.17575727270765198</v>
      </c>
      <c r="AF52" s="73"/>
      <c r="AG52" s="72"/>
      <c r="AH52" s="74" t="s">
        <v>140</v>
      </c>
      <c r="AI52" s="75">
        <f>(AE51+AE57)*4.5</f>
        <v>0.31963261955936195</v>
      </c>
    </row>
    <row r="53" spans="1:35" x14ac:dyDescent="0.2">
      <c r="A53" s="131"/>
      <c r="B53" s="133"/>
      <c r="C53" s="131"/>
      <c r="D53" s="133"/>
      <c r="E53" s="133"/>
      <c r="F53" s="133"/>
      <c r="G53" s="133"/>
      <c r="H53" s="89" t="s">
        <v>170</v>
      </c>
      <c r="I53" s="90"/>
      <c r="J53" s="90"/>
      <c r="K53" s="129">
        <f>(-18.33*(H6*(100/H27)))+2130</f>
        <v>1036.4117002684691</v>
      </c>
      <c r="L53" s="130">
        <f>K53</f>
        <v>1036.4117002684691</v>
      </c>
      <c r="M53" s="131"/>
      <c r="N53" s="31" t="s">
        <v>72</v>
      </c>
      <c r="O53" s="88">
        <f t="shared" si="32"/>
        <v>3.6985165556888684</v>
      </c>
      <c r="P53" s="32" t="s">
        <v>52</v>
      </c>
      <c r="W53" s="30" t="s">
        <v>61</v>
      </c>
      <c r="X53" s="36">
        <f t="shared" si="28"/>
        <v>1.1553863891606035</v>
      </c>
      <c r="Y53" s="36">
        <f t="shared" si="29"/>
        <v>1.1431346124331625</v>
      </c>
      <c r="Z53" s="36">
        <f t="shared" si="29"/>
        <v>1.144192716028549</v>
      </c>
      <c r="AA53" s="36">
        <f t="shared" si="29"/>
        <v>1.1441022827900653</v>
      </c>
      <c r="AB53" s="36">
        <f t="shared" si="29"/>
        <v>1.1441100190389615</v>
      </c>
      <c r="AC53" s="69">
        <v>2</v>
      </c>
      <c r="AD53" s="72">
        <f t="shared" si="30"/>
        <v>1.4328940537345736E-2</v>
      </c>
      <c r="AE53" s="72">
        <f t="shared" si="31"/>
        <v>8.0458844265574869E-3</v>
      </c>
      <c r="AF53" s="73" t="s">
        <v>142</v>
      </c>
      <c r="AG53" s="72">
        <f>AE53+AE54+AE55+AE56</f>
        <v>0.11931191240703587</v>
      </c>
      <c r="AH53" s="74" t="s">
        <v>143</v>
      </c>
      <c r="AI53" s="75">
        <f>AG58*1.4</f>
        <v>9.2685930225075985E-2</v>
      </c>
    </row>
    <row r="54" spans="1:35" x14ac:dyDescent="0.2">
      <c r="A54" s="131"/>
      <c r="B54" s="131"/>
      <c r="C54" s="131"/>
      <c r="D54" s="131"/>
      <c r="E54" s="131"/>
      <c r="F54" s="131"/>
      <c r="G54" s="131"/>
      <c r="H54" s="33" t="s">
        <v>171</v>
      </c>
      <c r="I54" s="11"/>
      <c r="J54" s="5"/>
      <c r="K54" s="125">
        <f>AB61</f>
        <v>1.4843629832048322</v>
      </c>
      <c r="L54" s="126">
        <f>K54</f>
        <v>1.4843629832048322</v>
      </c>
      <c r="M54" s="131"/>
      <c r="N54" s="31" t="s">
        <v>76</v>
      </c>
      <c r="O54" s="88">
        <f t="shared" si="32"/>
        <v>6.9179571934652939</v>
      </c>
      <c r="P54" s="32" t="s">
        <v>52</v>
      </c>
      <c r="W54" s="30" t="s">
        <v>65</v>
      </c>
      <c r="X54" s="36">
        <f t="shared" si="28"/>
        <v>7.6239796286564809</v>
      </c>
      <c r="Y54" s="36">
        <f t="shared" si="29"/>
        <v>7.5431345563402674</v>
      </c>
      <c r="Z54" s="36">
        <f t="shared" si="29"/>
        <v>7.5501166017684609</v>
      </c>
      <c r="AA54" s="36">
        <f t="shared" si="29"/>
        <v>7.5495198653221767</v>
      </c>
      <c r="AB54" s="36">
        <f t="shared" si="29"/>
        <v>7.5495709140488545</v>
      </c>
      <c r="AC54" s="69">
        <v>1</v>
      </c>
      <c r="AD54" s="72">
        <f t="shared" si="30"/>
        <v>0.10507932080172221</v>
      </c>
      <c r="AE54" s="72">
        <f t="shared" si="31"/>
        <v>5.9003390277759186E-2</v>
      </c>
      <c r="AF54" s="73"/>
      <c r="AG54" s="72"/>
      <c r="AH54" s="74" t="s">
        <v>163</v>
      </c>
      <c r="AI54" s="75">
        <f>AE61*2</f>
        <v>3.7877423146851733E-2</v>
      </c>
    </row>
    <row r="55" spans="1:35" x14ac:dyDescent="0.2">
      <c r="A55" s="87" t="s">
        <v>165</v>
      </c>
      <c r="N55" s="31" t="s">
        <v>78</v>
      </c>
      <c r="O55" s="88">
        <f t="shared" si="32"/>
        <v>3.5762135436509515</v>
      </c>
      <c r="P55" s="32" t="s">
        <v>52</v>
      </c>
      <c r="W55" s="30" t="s">
        <v>69</v>
      </c>
      <c r="X55" s="36">
        <f t="shared" si="28"/>
        <v>0.14400045233587722</v>
      </c>
      <c r="Y55" s="36">
        <f t="shared" si="29"/>
        <v>0.14247346412896972</v>
      </c>
      <c r="Z55" s="36">
        <f t="shared" si="29"/>
        <v>0.14260533983547219</v>
      </c>
      <c r="AA55" s="36">
        <f t="shared" si="29"/>
        <v>0.14259406877726169</v>
      </c>
      <c r="AB55" s="36">
        <f t="shared" si="29"/>
        <v>0.14259503297707474</v>
      </c>
      <c r="AC55" s="69">
        <v>1</v>
      </c>
      <c r="AD55" s="72">
        <f t="shared" si="30"/>
        <v>2.0101530783067146E-3</v>
      </c>
      <c r="AE55" s="72">
        <f t="shared" si="31"/>
        <v>1.1287268103033475E-3</v>
      </c>
      <c r="AF55" s="73"/>
      <c r="AG55" s="72"/>
      <c r="AH55" s="74" t="s">
        <v>149</v>
      </c>
      <c r="AI55" s="75">
        <f>(AI50+AI51+AI52+AI53+AI54)*(AE50/AG50)</f>
        <v>1.1459234709329973</v>
      </c>
    </row>
    <row r="56" spans="1:35" x14ac:dyDescent="0.2">
      <c r="N56" s="31" t="s">
        <v>80</v>
      </c>
      <c r="O56" s="88">
        <f t="shared" si="32"/>
        <v>0.16054258761180706</v>
      </c>
      <c r="P56" s="32" t="s">
        <v>52</v>
      </c>
      <c r="W56" s="30" t="s">
        <v>72</v>
      </c>
      <c r="X56" s="36">
        <f t="shared" si="28"/>
        <v>3.7064762312178683</v>
      </c>
      <c r="Y56" s="36">
        <f t="shared" si="29"/>
        <v>3.6671725665248474</v>
      </c>
      <c r="Z56" s="36">
        <f t="shared" si="29"/>
        <v>3.6705669598319344</v>
      </c>
      <c r="AA56" s="36">
        <f t="shared" si="29"/>
        <v>3.670276850261581</v>
      </c>
      <c r="AB56" s="36">
        <f t="shared" si="29"/>
        <v>3.6703016681259091</v>
      </c>
      <c r="AC56" s="69">
        <v>1</v>
      </c>
      <c r="AD56" s="72">
        <f t="shared" si="30"/>
        <v>9.1064540549565531E-2</v>
      </c>
      <c r="AE56" s="72">
        <f t="shared" si="31"/>
        <v>5.113391089241584E-2</v>
      </c>
      <c r="AF56" s="73"/>
      <c r="AG56" s="72"/>
      <c r="AH56" s="74" t="s">
        <v>152</v>
      </c>
      <c r="AI56" s="75">
        <f>((AI55/(1-(AE50/AG50)))*((10000/(K53+273.15))-1.5))-6.4</f>
        <v>9.7104873714314568</v>
      </c>
    </row>
    <row r="57" spans="1:35" x14ac:dyDescent="0.2">
      <c r="K57" s="21"/>
      <c r="L57" s="21"/>
      <c r="N57" s="31" t="s">
        <v>83</v>
      </c>
      <c r="O57" s="88">
        <f t="shared" si="32"/>
        <v>7.4334275365203206E-2</v>
      </c>
      <c r="P57" s="32" t="s">
        <v>52</v>
      </c>
      <c r="W57" s="30" t="s">
        <v>76</v>
      </c>
      <c r="X57" s="36">
        <f t="shared" si="28"/>
        <v>6.9328455125398145</v>
      </c>
      <c r="Y57" s="36">
        <f t="shared" si="29"/>
        <v>6.8593292619570221</v>
      </c>
      <c r="Z57" s="36">
        <f t="shared" si="29"/>
        <v>6.8656783663189032</v>
      </c>
      <c r="AA57" s="36">
        <f t="shared" si="29"/>
        <v>6.8651357256252901</v>
      </c>
      <c r="AB57" s="36">
        <f t="shared" si="29"/>
        <v>6.8651821466485492</v>
      </c>
      <c r="AC57" s="69">
        <v>1</v>
      </c>
      <c r="AD57" s="72">
        <f t="shared" si="30"/>
        <v>0.12241896572803114</v>
      </c>
      <c r="AE57" s="72">
        <f t="shared" si="31"/>
        <v>6.8739823945762155E-2</v>
      </c>
      <c r="AF57" s="73"/>
      <c r="AG57" s="72"/>
      <c r="AH57" s="74"/>
      <c r="AI57" s="75"/>
    </row>
    <row r="58" spans="1:35" x14ac:dyDescent="0.2">
      <c r="K58" s="21"/>
      <c r="L58" s="21"/>
      <c r="N58" s="31" t="s">
        <v>85</v>
      </c>
      <c r="O58" s="88">
        <f t="shared" si="32"/>
        <v>0.17</v>
      </c>
      <c r="P58" s="32" t="s">
        <v>52</v>
      </c>
      <c r="W58" s="30" t="s">
        <v>78</v>
      </c>
      <c r="X58" s="36">
        <f t="shared" si="28"/>
        <v>3.5839100076254313</v>
      </c>
      <c r="Y58" s="36">
        <f t="shared" si="29"/>
        <v>3.5459060414747063</v>
      </c>
      <c r="Z58" s="36">
        <f t="shared" si="29"/>
        <v>3.5491881885557062</v>
      </c>
      <c r="AA58" s="36">
        <f t="shared" si="29"/>
        <v>3.5489076723652229</v>
      </c>
      <c r="AB58" s="36">
        <f t="shared" si="29"/>
        <v>3.5489316695492823</v>
      </c>
      <c r="AC58" s="69">
        <v>2</v>
      </c>
      <c r="AD58" s="72">
        <f t="shared" si="30"/>
        <v>0.1145206407196411</v>
      </c>
      <c r="AE58" s="72">
        <f t="shared" si="31"/>
        <v>6.4304812856472882E-2</v>
      </c>
      <c r="AF58" s="73" t="s">
        <v>157</v>
      </c>
      <c r="AG58" s="72">
        <f>AE58+AE59</f>
        <v>6.6204235875054279E-2</v>
      </c>
      <c r="AH58" s="74"/>
      <c r="AI58" s="75"/>
    </row>
    <row r="59" spans="1:35" x14ac:dyDescent="0.2">
      <c r="K59" s="21"/>
      <c r="L59" s="21"/>
      <c r="N59" s="31" t="s">
        <v>87</v>
      </c>
      <c r="O59" s="88">
        <f t="shared" si="32"/>
        <v>0.05</v>
      </c>
      <c r="P59" s="32" t="s">
        <v>52</v>
      </c>
      <c r="W59" s="30" t="s">
        <v>80</v>
      </c>
      <c r="X59" s="36">
        <f t="shared" si="28"/>
        <v>0.16088809557066977</v>
      </c>
      <c r="Y59" s="36">
        <f t="shared" si="29"/>
        <v>0.15918202992585367</v>
      </c>
      <c r="Z59" s="36">
        <f t="shared" si="29"/>
        <v>0.15932937134684955</v>
      </c>
      <c r="AA59" s="36">
        <f t="shared" si="29"/>
        <v>0.15931677847605549</v>
      </c>
      <c r="AB59" s="36">
        <f t="shared" si="29"/>
        <v>0.15931785575233592</v>
      </c>
      <c r="AC59" s="69">
        <v>2</v>
      </c>
      <c r="AD59" s="72">
        <f t="shared" si="30"/>
        <v>3.3826883466885204E-3</v>
      </c>
      <c r="AE59" s="72">
        <f t="shared" si="31"/>
        <v>1.8994230185814022E-3</v>
      </c>
      <c r="AF59" s="73"/>
      <c r="AG59" s="72"/>
      <c r="AH59" s="74"/>
      <c r="AI59" s="75"/>
    </row>
    <row r="60" spans="1:35" x14ac:dyDescent="0.2">
      <c r="K60" s="21"/>
      <c r="L60" s="21"/>
      <c r="N60" s="31" t="s">
        <v>88</v>
      </c>
      <c r="O60" s="88">
        <f t="shared" si="32"/>
        <v>0.02</v>
      </c>
      <c r="P60" s="32" t="s">
        <v>52</v>
      </c>
      <c r="W60" s="31" t="s">
        <v>83</v>
      </c>
      <c r="X60" s="36">
        <f t="shared" si="28"/>
        <v>7.449425212985504E-2</v>
      </c>
      <c r="Y60" s="36">
        <f t="shared" si="29"/>
        <v>7.3704311246757262E-2</v>
      </c>
      <c r="Z60" s="36">
        <f t="shared" si="29"/>
        <v>7.3772533130582199E-2</v>
      </c>
      <c r="AA60" s="36">
        <f t="shared" si="29"/>
        <v>7.3766702391591568E-2</v>
      </c>
      <c r="AB60" s="36">
        <f t="shared" si="29"/>
        <v>7.3767201191024576E-2</v>
      </c>
      <c r="AC60" s="10">
        <v>2</v>
      </c>
      <c r="AD60" s="72">
        <f t="shared" si="30"/>
        <v>1.0393809015639855E-3</v>
      </c>
      <c r="AE60" s="72">
        <f t="shared" si="31"/>
        <v>5.8362574590626692E-4</v>
      </c>
      <c r="AF60" s="10"/>
      <c r="AG60" s="72"/>
      <c r="AH60" s="72"/>
      <c r="AI60" s="75"/>
    </row>
    <row r="61" spans="1:35" x14ac:dyDescent="0.2">
      <c r="K61" s="21"/>
      <c r="L61" s="21"/>
      <c r="N61" s="31" t="s">
        <v>90</v>
      </c>
      <c r="O61" s="88">
        <f t="shared" si="32"/>
        <v>0.04</v>
      </c>
      <c r="P61" s="32" t="s">
        <v>52</v>
      </c>
      <c r="W61" s="53" t="s">
        <v>164</v>
      </c>
      <c r="X61" s="54">
        <f>-17.437+1.5627*X50-0.050115*X50^2+0.000671731*X50^3-0.000003037*X50^4</f>
        <v>1.5851028324183787</v>
      </c>
      <c r="Y61" s="54">
        <f>-17.437+1.5627*Y50-0.050115*Y50^2+0.000671731*Y50^3-0.000003037*Y50^4</f>
        <v>1.4758183257171993</v>
      </c>
      <c r="Z61" s="54">
        <f>-17.437+1.5627*Z50-0.050115*Z50^2+0.000671731*Z50^3-0.000003037*Z50^4</f>
        <v>1.4850886633100728</v>
      </c>
      <c r="AA61" s="54">
        <f>-17.437+1.5627*AA50-0.050115*AA50^2+0.000671731*AA50^3-0.000003037*AA50^4</f>
        <v>1.4842951062700251</v>
      </c>
      <c r="AB61" s="54">
        <f>-17.437+1.5627*AB50-0.050115*AB50^2+0.000671731*AB50^3-0.000003037*AB50^4</f>
        <v>1.4843629832048322</v>
      </c>
      <c r="AC61" s="11">
        <v>1</v>
      </c>
      <c r="AD61" s="83">
        <f t="shared" si="30"/>
        <v>3.3728010197838484E-2</v>
      </c>
      <c r="AE61" s="83">
        <f t="shared" si="31"/>
        <v>1.8938711573425866E-2</v>
      </c>
      <c r="AF61" s="5"/>
      <c r="AG61" s="83"/>
      <c r="AH61" s="97"/>
      <c r="AI61" s="98"/>
    </row>
    <row r="62" spans="1:35" x14ac:dyDescent="0.2">
      <c r="K62" s="21"/>
      <c r="L62" s="21"/>
      <c r="N62" s="31" t="s">
        <v>92</v>
      </c>
      <c r="O62" s="88">
        <f t="shared" si="32"/>
        <v>0.01</v>
      </c>
      <c r="P62" s="32" t="s">
        <v>52</v>
      </c>
      <c r="W62" s="33" t="s">
        <v>108</v>
      </c>
      <c r="X62" s="54">
        <f>SUM(X50:X61)</f>
        <v>101.07177025296812</v>
      </c>
      <c r="Y62" s="54">
        <f>SUM(Y50:Y61)</f>
        <v>99.907524005304012</v>
      </c>
      <c r="Z62" s="54">
        <f>SUM(Z50:Z61)</f>
        <v>100.00790429665633</v>
      </c>
      <c r="AA62" s="54">
        <f>SUM(AA50:AA61)</f>
        <v>99.999323819495714</v>
      </c>
      <c r="AB62" s="54">
        <f>SUM(AB50:AB61)</f>
        <v>100.0000578403528</v>
      </c>
      <c r="AC62" s="11"/>
      <c r="AD62" s="83">
        <f>SUM(AD50:AD61)</f>
        <v>1.7879227348524869</v>
      </c>
      <c r="AE62" s="83">
        <f>SUM(AE50:AE61)</f>
        <v>1.0039416138789015</v>
      </c>
      <c r="AF62" s="5"/>
      <c r="AG62" s="11"/>
      <c r="AH62" s="5" t="s">
        <v>161</v>
      </c>
      <c r="AI62" s="84">
        <f>(AI56/2.303)</f>
        <v>4.2164513119546054</v>
      </c>
    </row>
    <row r="63" spans="1:35" x14ac:dyDescent="0.2">
      <c r="K63" s="21"/>
      <c r="L63" s="21"/>
      <c r="N63" s="31" t="s">
        <v>94</v>
      </c>
      <c r="O63" s="100">
        <f>B22/8456</f>
        <v>4.8131504257332071E-2</v>
      </c>
      <c r="P63" s="32" t="s">
        <v>52</v>
      </c>
      <c r="W63" s="1"/>
      <c r="X63" s="21"/>
    </row>
    <row r="64" spans="1:35" x14ac:dyDescent="0.2">
      <c r="K64" s="21"/>
      <c r="L64" s="21"/>
      <c r="N64" s="31" t="s">
        <v>97</v>
      </c>
      <c r="O64" s="100">
        <f>B23/8957</f>
        <v>0.11030478955007257</v>
      </c>
      <c r="P64" s="32" t="s">
        <v>52</v>
      </c>
    </row>
    <row r="65" spans="11:16" x14ac:dyDescent="0.2">
      <c r="K65" s="21"/>
      <c r="L65" s="21"/>
      <c r="N65" s="31" t="s">
        <v>99</v>
      </c>
      <c r="O65" s="100">
        <f>B24/7858</f>
        <v>1.9597862051412573E-2</v>
      </c>
      <c r="P65" s="32" t="s">
        <v>52</v>
      </c>
    </row>
    <row r="66" spans="11:16" x14ac:dyDescent="0.2">
      <c r="K66" s="21"/>
      <c r="L66" s="21"/>
      <c r="N66" s="31" t="s">
        <v>102</v>
      </c>
      <c r="O66" s="100">
        <f>B25/6842</f>
        <v>1.636948260742473E-2</v>
      </c>
      <c r="P66" s="32" t="s">
        <v>52</v>
      </c>
    </row>
    <row r="67" spans="11:16" x14ac:dyDescent="0.2">
      <c r="K67" s="21"/>
      <c r="L67" s="21"/>
      <c r="N67" s="33" t="s">
        <v>104</v>
      </c>
      <c r="O67" s="102">
        <f>B26/7403</f>
        <v>2.7826556801296771E-2</v>
      </c>
      <c r="P67" s="57" t="s">
        <v>52</v>
      </c>
    </row>
    <row r="68" spans="11:16" x14ac:dyDescent="0.2">
      <c r="K68" s="21"/>
      <c r="L68" s="21"/>
      <c r="N68" s="33" t="s">
        <v>108</v>
      </c>
      <c r="O68" s="101">
        <f>SUM(O47:O67)</f>
        <v>99.785249519153552</v>
      </c>
      <c r="P68" s="57"/>
    </row>
    <row r="69" spans="11:16" x14ac:dyDescent="0.2">
      <c r="K69" s="21"/>
      <c r="L69" s="21"/>
    </row>
    <row r="70" spans="11:16" x14ac:dyDescent="0.2">
      <c r="K70" s="21"/>
      <c r="L70" s="21"/>
    </row>
    <row r="71" spans="11:16" x14ac:dyDescent="0.2">
      <c r="K71" s="21"/>
      <c r="L71" s="21"/>
    </row>
    <row r="72" spans="11:16" x14ac:dyDescent="0.2">
      <c r="K72" s="21"/>
      <c r="L72" s="21"/>
    </row>
    <row r="73" spans="11:16" x14ac:dyDescent="0.2">
      <c r="K73" s="21"/>
      <c r="L73" s="21"/>
    </row>
    <row r="74" spans="11:16" x14ac:dyDescent="0.2">
      <c r="K74" s="21"/>
      <c r="L74" s="21"/>
    </row>
    <row r="75" spans="11:16" x14ac:dyDescent="0.2">
      <c r="K75" s="21"/>
      <c r="L75" s="21"/>
    </row>
    <row r="76" spans="11:16" x14ac:dyDescent="0.2">
      <c r="K76" s="21"/>
      <c r="L76" s="21"/>
    </row>
    <row r="77" spans="11:16" x14ac:dyDescent="0.2">
      <c r="K77" s="21"/>
      <c r="L77" s="21"/>
    </row>
    <row r="78" spans="11:16" x14ac:dyDescent="0.2">
      <c r="K78" s="21"/>
      <c r="L78" s="21"/>
    </row>
    <row r="79" spans="11:16" x14ac:dyDescent="0.2">
      <c r="K79" s="21"/>
      <c r="L79" s="21"/>
    </row>
    <row r="80" spans="11:16" x14ac:dyDescent="0.2">
      <c r="K80" s="21"/>
      <c r="L80" s="21"/>
    </row>
    <row r="81" spans="11:12" x14ac:dyDescent="0.2">
      <c r="K81" s="21"/>
      <c r="L81" s="21"/>
    </row>
    <row r="82" spans="11:12" x14ac:dyDescent="0.2">
      <c r="K82" s="21"/>
      <c r="L82" s="21"/>
    </row>
    <row r="83" spans="11:12" x14ac:dyDescent="0.2">
      <c r="K83" s="21"/>
      <c r="L83" s="21"/>
    </row>
    <row r="84" spans="11:12" x14ac:dyDescent="0.2">
      <c r="K84" s="21"/>
      <c r="L84" s="21"/>
    </row>
    <row r="85" spans="11:12" x14ac:dyDescent="0.2">
      <c r="K85" s="21"/>
      <c r="L85" s="21"/>
    </row>
    <row r="86" spans="11:12" x14ac:dyDescent="0.2">
      <c r="K86" s="21"/>
      <c r="L86" s="21"/>
    </row>
    <row r="87" spans="11:12" x14ac:dyDescent="0.2">
      <c r="K87" s="21"/>
      <c r="L87" s="21"/>
    </row>
    <row r="88" spans="11:12" x14ac:dyDescent="0.2">
      <c r="K88" s="21"/>
      <c r="L88" s="21"/>
    </row>
    <row r="89" spans="11:12" x14ac:dyDescent="0.2">
      <c r="K89" s="21"/>
      <c r="L89" s="21"/>
    </row>
    <row r="90" spans="11:12" x14ac:dyDescent="0.2">
      <c r="K90" s="21"/>
      <c r="L90" s="21"/>
    </row>
    <row r="91" spans="11:12" x14ac:dyDescent="0.2">
      <c r="K91" s="21"/>
      <c r="L91" s="21"/>
    </row>
    <row r="92" spans="11:12" x14ac:dyDescent="0.2">
      <c r="K92" s="21"/>
      <c r="L92" s="21"/>
    </row>
    <row r="93" spans="11:12" x14ac:dyDescent="0.2">
      <c r="K93" s="21"/>
      <c r="L93" s="21"/>
    </row>
    <row r="94" spans="11:12" x14ac:dyDescent="0.2">
      <c r="K94" s="21"/>
      <c r="L94" s="21"/>
    </row>
    <row r="95" spans="11:12" x14ac:dyDescent="0.2">
      <c r="K95" s="21"/>
      <c r="L95" s="21"/>
    </row>
    <row r="96" spans="11:12" x14ac:dyDescent="0.2">
      <c r="K96" s="21"/>
      <c r="L96" s="21"/>
    </row>
    <row r="97" spans="11:12" x14ac:dyDescent="0.2">
      <c r="K97" s="21"/>
      <c r="L97" s="21"/>
    </row>
    <row r="98" spans="11:12" x14ac:dyDescent="0.2">
      <c r="K98" s="21"/>
      <c r="L98" s="21"/>
    </row>
    <row r="99" spans="11:12" x14ac:dyDescent="0.2">
      <c r="K99" s="21"/>
      <c r="L99" s="21"/>
    </row>
    <row r="100" spans="11:12" x14ac:dyDescent="0.2">
      <c r="K100" s="21"/>
      <c r="L100" s="21"/>
    </row>
    <row r="101" spans="11:12" x14ac:dyDescent="0.2">
      <c r="K101" s="21"/>
      <c r="L101" s="21"/>
    </row>
    <row r="102" spans="11:12" x14ac:dyDescent="0.2">
      <c r="K102" s="21"/>
      <c r="L102" s="21"/>
    </row>
    <row r="103" spans="11:12" x14ac:dyDescent="0.2">
      <c r="K103" s="21"/>
      <c r="L103" s="21"/>
    </row>
    <row r="104" spans="11:12" x14ac:dyDescent="0.2">
      <c r="K104" s="21"/>
      <c r="L104" s="21"/>
    </row>
    <row r="105" spans="11:12" x14ac:dyDescent="0.2">
      <c r="K105" s="21"/>
      <c r="L105" s="21"/>
    </row>
  </sheetData>
  <mergeCells count="1">
    <mergeCell ref="E25:F25"/>
  </mergeCells>
  <phoneticPr fontId="0" type="noConversion"/>
  <pageMargins left="0.75" right="0.75" top="1" bottom="1" header="0.5" footer="0.5"/>
  <pageSetup orientation="portrait" horizontalDpi="4294967292" verticalDpi="4294967292" r:id="rId1"/>
  <headerFooter alignWithMargins="0">
    <oddHeader>&amp;f</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CIPW norm calculation</vt:lpstr>
      <vt:lpstr>'CIPW norm calculation'!Print_Area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Hollocher, Kurt</dc:creator>
  <cp:lastModifiedBy>Kurt Hollocher</cp:lastModifiedBy>
  <dcterms:created xsi:type="dcterms:W3CDTF">2005-08-12T13:46:07Z</dcterms:created>
  <dcterms:modified xsi:type="dcterms:W3CDTF">2019-12-12T13:44:17Z</dcterms:modified>
</cp:coreProperties>
</file>