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701"/>
  <workbookPr/>
  <mc:AlternateContent xmlns:mc="http://schemas.openxmlformats.org/markup-compatibility/2006">
    <mc:Choice Requires="x15">
      <x15ac:absPath xmlns:x15ac="http://schemas.microsoft.com/office/spreadsheetml/2010/11/ac" url="D:\Documents\New webs\c_mineralogy\programs\"/>
    </mc:Choice>
  </mc:AlternateContent>
  <xr:revisionPtr revIDLastSave="0" documentId="8_{FABD62BA-EBB6-4420-85C2-A6C32373A6FE}" xr6:coauthVersionLast="47" xr6:coauthVersionMax="47" xr10:uidLastSave="{00000000-0000-0000-0000-000000000000}"/>
  <bookViews>
    <workbookView xWindow="780" yWindow="780" windowWidth="21600" windowHeight="11505" firstSheet="1" activeTab="3"/>
  </bookViews>
  <sheets>
    <sheet name="Volume" sheetId="1" r:id="rId1"/>
    <sheet name="Density" sheetId="2" r:id="rId2"/>
    <sheet name="Formula" sheetId="3" r:id="rId3"/>
    <sheet name="Weight" sheetId="6" r:id="rId4"/>
    <sheet name="Ferric iron wt" sheetId="4" r:id="rId5"/>
    <sheet name="Ferric iron cat" sheetId="5" r:id="rId6"/>
  </sheets>
  <calcPr calcId="181029" iterateCount="1000" iterateDelta="9.9999999999999995E-8"/>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6" i="6" l="1"/>
  <c r="D16" i="6" s="1"/>
  <c r="B15" i="6"/>
  <c r="D15" i="6"/>
  <c r="B14" i="6"/>
  <c r="D14" i="6" s="1"/>
  <c r="B13" i="6"/>
  <c r="D13" i="6" s="1"/>
  <c r="B7" i="6"/>
  <c r="D7" i="6"/>
  <c r="B8" i="6"/>
  <c r="D8" i="6"/>
  <c r="C17" i="6"/>
  <c r="D6" i="6"/>
  <c r="B12" i="6"/>
  <c r="D12" i="6"/>
  <c r="B11" i="6"/>
  <c r="D11" i="6"/>
  <c r="B10" i="6"/>
  <c r="D10" i="6" s="1"/>
  <c r="B9" i="6"/>
  <c r="D9" i="6" s="1"/>
  <c r="B5" i="6"/>
  <c r="D5" i="6"/>
  <c r="D16" i="4"/>
  <c r="B19" i="5"/>
  <c r="B23" i="5"/>
  <c r="E10" i="5" s="1"/>
  <c r="G17" i="1"/>
  <c r="G21" i="1"/>
  <c r="G13" i="1"/>
  <c r="G6" i="1"/>
  <c r="G4" i="1"/>
  <c r="H7" i="4"/>
  <c r="K7" i="4"/>
  <c r="L7" i="4" s="1"/>
  <c r="K8" i="4"/>
  <c r="M8" i="4" s="1"/>
  <c r="H9" i="4"/>
  <c r="K9" i="4" s="1"/>
  <c r="H10" i="4"/>
  <c r="K10" i="4"/>
  <c r="L10" i="4" s="1"/>
  <c r="H11" i="4"/>
  <c r="K11" i="4" s="1"/>
  <c r="H12" i="4"/>
  <c r="K12" i="4" s="1"/>
  <c r="H13" i="4"/>
  <c r="K13" i="4"/>
  <c r="L13" i="4" s="1"/>
  <c r="M13" i="4"/>
  <c r="H14" i="4"/>
  <c r="K14" i="4" s="1"/>
  <c r="H15" i="4"/>
  <c r="K15" i="4" s="1"/>
  <c r="H16" i="4"/>
  <c r="K16" i="4"/>
  <c r="L16" i="4" s="1"/>
  <c r="M16" i="4"/>
  <c r="K17" i="4"/>
  <c r="M17" i="4" s="1"/>
  <c r="E6" i="2"/>
  <c r="E7" i="2"/>
  <c r="E8" i="2"/>
  <c r="E17" i="2" s="1"/>
  <c r="E18" i="2" s="1"/>
  <c r="E19" i="2" s="1"/>
  <c r="E9" i="2"/>
  <c r="E10" i="2"/>
  <c r="E11" i="2"/>
  <c r="E12" i="2"/>
  <c r="E13" i="2"/>
  <c r="E14" i="2"/>
  <c r="E15" i="2"/>
  <c r="E16" i="2"/>
  <c r="C17" i="2"/>
  <c r="D9" i="4"/>
  <c r="D8" i="4"/>
  <c r="D10" i="4"/>
  <c r="D13" i="4"/>
  <c r="D14" i="4"/>
  <c r="D15" i="4"/>
  <c r="D17" i="4"/>
  <c r="D18" i="4"/>
  <c r="B19" i="4"/>
  <c r="B12" i="3"/>
  <c r="G12" i="3" s="1"/>
  <c r="B6" i="3"/>
  <c r="G6" i="3"/>
  <c r="I6" i="3" s="1"/>
  <c r="G7" i="3"/>
  <c r="I7" i="3"/>
  <c r="B8" i="3"/>
  <c r="G8" i="3" s="1"/>
  <c r="B9" i="3"/>
  <c r="G9" i="3" s="1"/>
  <c r="B10" i="3"/>
  <c r="G10" i="3"/>
  <c r="I10" i="3" s="1"/>
  <c r="H10" i="3"/>
  <c r="B11" i="3"/>
  <c r="G11" i="3" s="1"/>
  <c r="B13" i="3"/>
  <c r="G13" i="3" s="1"/>
  <c r="B14" i="3"/>
  <c r="G14" i="3"/>
  <c r="H14" i="3" s="1"/>
  <c r="I14" i="3"/>
  <c r="B15" i="3"/>
  <c r="G15" i="3" s="1"/>
  <c r="G16" i="3"/>
  <c r="F17" i="3"/>
  <c r="G9" i="1"/>
  <c r="H7" i="3"/>
  <c r="H6" i="3"/>
  <c r="E16" i="5"/>
  <c r="D14" i="5"/>
  <c r="E17" i="5"/>
  <c r="H16" i="3"/>
  <c r="I16" i="3"/>
  <c r="I9" i="3" l="1"/>
  <c r="H9" i="3"/>
  <c r="H17" i="3" s="1"/>
  <c r="H18" i="3" s="1"/>
  <c r="M15" i="4"/>
  <c r="L15" i="4"/>
  <c r="I8" i="3"/>
  <c r="I17" i="3" s="1"/>
  <c r="H8" i="3"/>
  <c r="L14" i="4"/>
  <c r="M14" i="4"/>
  <c r="M9" i="4"/>
  <c r="L9" i="4"/>
  <c r="E11" i="6"/>
  <c r="H13" i="3"/>
  <c r="I13" i="3"/>
  <c r="E13" i="6"/>
  <c r="H11" i="3"/>
  <c r="I11" i="3"/>
  <c r="M12" i="4"/>
  <c r="L12" i="4"/>
  <c r="I12" i="3"/>
  <c r="H12" i="3"/>
  <c r="M11" i="4"/>
  <c r="L11" i="4"/>
  <c r="E15" i="6"/>
  <c r="H15" i="3"/>
  <c r="I15" i="3"/>
  <c r="D17" i="6"/>
  <c r="D11" i="5"/>
  <c r="E15" i="5"/>
  <c r="M7" i="4"/>
  <c r="D8" i="5"/>
  <c r="E8" i="5"/>
  <c r="D17" i="5"/>
  <c r="L17" i="4"/>
  <c r="D16" i="5"/>
  <c r="E14" i="5"/>
  <c r="D13" i="5"/>
  <c r="M10" i="4"/>
  <c r="D10" i="5"/>
  <c r="D12" i="5"/>
  <c r="E18" i="5"/>
  <c r="D9" i="5"/>
  <c r="E8" i="6"/>
  <c r="L8" i="4"/>
  <c r="L18" i="4" s="1"/>
  <c r="L20" i="4" s="1"/>
  <c r="E13" i="5"/>
  <c r="D18" i="5"/>
  <c r="E9" i="5"/>
  <c r="D15" i="5"/>
  <c r="N16" i="4" l="1"/>
  <c r="N13" i="4"/>
  <c r="N8" i="4"/>
  <c r="N17" i="4"/>
  <c r="J14" i="3"/>
  <c r="J7" i="3"/>
  <c r="J16" i="3"/>
  <c r="J10" i="3"/>
  <c r="J6" i="3"/>
  <c r="J17" i="3" s="1"/>
  <c r="E7" i="6"/>
  <c r="E5" i="6"/>
  <c r="E6" i="6"/>
  <c r="E12" i="6"/>
  <c r="N14" i="4"/>
  <c r="E9" i="6"/>
  <c r="N11" i="4"/>
  <c r="E19" i="5"/>
  <c r="D19" i="5"/>
  <c r="E11" i="5" s="1"/>
  <c r="E12" i="5" s="1"/>
  <c r="J12" i="3"/>
  <c r="J11" i="3"/>
  <c r="J8" i="3"/>
  <c r="N15" i="4"/>
  <c r="J15" i="3"/>
  <c r="N10" i="4"/>
  <c r="N7" i="4"/>
  <c r="M18" i="4"/>
  <c r="E10" i="6"/>
  <c r="N12" i="4"/>
  <c r="E16" i="6"/>
  <c r="E14" i="6"/>
  <c r="J13" i="3"/>
  <c r="N9" i="4"/>
  <c r="J9" i="3"/>
  <c r="C17" i="4" l="1"/>
  <c r="C12" i="4"/>
  <c r="C16" i="4"/>
  <c r="C15" i="4"/>
  <c r="C10" i="4"/>
  <c r="C8" i="4"/>
  <c r="N18" i="4"/>
  <c r="O21" i="4" s="1"/>
  <c r="O16" i="4" s="1"/>
  <c r="C13" i="4"/>
  <c r="C18" i="4"/>
  <c r="C11" i="4"/>
  <c r="E17" i="6"/>
  <c r="C9" i="4"/>
  <c r="O8" i="4"/>
  <c r="C14" i="4"/>
  <c r="O13" i="4"/>
  <c r="R16" i="4" l="1"/>
  <c r="Q16" i="4"/>
  <c r="O12" i="4"/>
  <c r="O14" i="4"/>
  <c r="O15" i="4"/>
  <c r="Q13" i="4"/>
  <c r="R13" i="4"/>
  <c r="R8" i="4"/>
  <c r="Q8" i="4"/>
  <c r="O7" i="4"/>
  <c r="C19" i="4"/>
  <c r="O11" i="4"/>
  <c r="O10" i="4"/>
  <c r="Q10" i="4" s="1"/>
  <c r="O17" i="4"/>
  <c r="O9" i="4"/>
  <c r="E9" i="4" l="1"/>
  <c r="S8" i="4"/>
  <c r="Q9" i="4"/>
  <c r="R9" i="4"/>
  <c r="Q11" i="4"/>
  <c r="S13" i="4"/>
  <c r="E14" i="4"/>
  <c r="R17" i="4"/>
  <c r="Q17" i="4"/>
  <c r="R15" i="4"/>
  <c r="Q15" i="4"/>
  <c r="Q14" i="4"/>
  <c r="R14" i="4"/>
  <c r="Q12" i="4"/>
  <c r="R12" i="4"/>
  <c r="O18" i="4"/>
  <c r="R7" i="4"/>
  <c r="Q7" i="4"/>
  <c r="S16" i="4"/>
  <c r="E17" i="4"/>
  <c r="E15" i="4" l="1"/>
  <c r="S14" i="4"/>
  <c r="S9" i="4"/>
  <c r="E10" i="4"/>
  <c r="S12" i="4"/>
  <c r="E13" i="4"/>
  <c r="Q18" i="4"/>
  <c r="Q22" i="4" s="1"/>
  <c r="S15" i="4"/>
  <c r="E16" i="4"/>
  <c r="S7" i="4"/>
  <c r="E8" i="4"/>
  <c r="S17" i="4"/>
  <c r="E18" i="4"/>
  <c r="R10" i="4" l="1"/>
  <c r="R11" i="4"/>
  <c r="E12" i="4" l="1"/>
  <c r="S11" i="4"/>
  <c r="E11" i="4"/>
  <c r="S10" i="4"/>
  <c r="S18" i="4" s="1"/>
  <c r="R18" i="4"/>
  <c r="D11" i="4" l="1"/>
  <c r="E19" i="4"/>
  <c r="D12" i="4"/>
  <c r="D19" i="4" l="1"/>
</calcChain>
</file>

<file path=xl/comments1.xml><?xml version="1.0" encoding="utf-8"?>
<comments xmlns="http://schemas.openxmlformats.org/spreadsheetml/2006/main">
  <authors>
    <author>A satisfied Microsoft Office user</author>
  </authors>
  <commentList>
    <comment ref="G1" authorId="0" shapeId="0">
      <text>
        <r>
          <rPr>
            <sz val="8"/>
            <color indexed="81"/>
            <rFont val="Tahoma"/>
            <family val="2"/>
          </rPr>
          <t>This program calculates unit cell volumes of crystals.  Choose the appropriate crystal system, then enter the unit cell values (axis lengths and angles between axes) in the appropriate yellow area(s).  The unit cell volume in cubic Ångstroms is calculated and given in the blue area to the right.</t>
        </r>
      </text>
    </comment>
  </commentList>
</comments>
</file>

<file path=xl/comments2.xml><?xml version="1.0" encoding="utf-8"?>
<comments xmlns="http://schemas.openxmlformats.org/spreadsheetml/2006/main">
  <authors>
    <author>A satisfied Microsoft Office user</author>
  </authors>
  <commentList>
    <comment ref="G1" authorId="0" shapeId="0">
      <text>
        <r>
          <rPr>
            <sz val="8"/>
            <color indexed="81"/>
            <rFont val="Tahoma"/>
            <family val="2"/>
          </rPr>
          <t>This program calculates mineral density.  Enter the data in the yellow areas (unit cell volume, Z, and the mineral formula).  The density is calculated and the result is given in the lower blue area.</t>
        </r>
      </text>
    </comment>
  </commentList>
</comments>
</file>

<file path=xl/comments3.xml><?xml version="1.0" encoding="utf-8"?>
<comments xmlns="http://schemas.openxmlformats.org/spreadsheetml/2006/main">
  <authors>
    <author>A satisfied Microsoft Office user</author>
  </authors>
  <commentList>
    <comment ref="K1" authorId="0" shapeId="0">
      <text>
        <r>
          <rPr>
            <sz val="8"/>
            <color indexed="81"/>
            <rFont val="Tahoma"/>
            <family val="2"/>
          </rPr>
          <t>This program calculates the simple cation proportions of a mineral from a chemical analysis.  Type in the weight percent of the oxides from the chemical analysis in the yellow area, and also type in the number of oxygens in the structural formula.  The number of cations (the simple chemical formula) is given in the blue area.</t>
        </r>
      </text>
    </comment>
  </commentList>
</comments>
</file>

<file path=xl/comments4.xml><?xml version="1.0" encoding="utf-8"?>
<comments xmlns="http://schemas.openxmlformats.org/spreadsheetml/2006/main">
  <authors>
    <author>A satisfied Microsoft Office user</author>
  </authors>
  <commentList>
    <comment ref="K1" authorId="0" shapeId="0">
      <text>
        <r>
          <rPr>
            <sz val="8"/>
            <color indexed="81"/>
            <rFont val="Tahoma"/>
            <family val="2"/>
          </rPr>
          <t>This program calculates the oxide weights from an ideal or measured mineral formula. Enter the number of each cation in the formula in the yellow box, and the results come out in the blue box.</t>
        </r>
      </text>
    </comment>
  </commentList>
</comments>
</file>

<file path=xl/comments5.xml><?xml version="1.0" encoding="utf-8"?>
<comments xmlns="http://schemas.openxmlformats.org/spreadsheetml/2006/main">
  <authors>
    <author>A satisfied Microsoft Office user</author>
  </authors>
  <commentList>
    <comment ref="G1" authorId="0" shapeId="0">
      <text>
        <r>
          <rPr>
            <sz val="8"/>
            <color indexed="81"/>
            <rFont val="Tahoma"/>
            <family val="2"/>
          </rPr>
          <t>This program calculates the simple chemical formula of a mineral from a chemical analysis.  This program assumes Fe</t>
        </r>
        <r>
          <rPr>
            <vertAlign val="subscript"/>
            <sz val="8"/>
            <color indexed="81"/>
            <rFont val="Tahoma"/>
            <family val="2"/>
          </rPr>
          <t>2</t>
        </r>
        <r>
          <rPr>
            <sz val="8"/>
            <color indexed="81"/>
            <rFont val="Tahoma"/>
            <family val="2"/>
          </rPr>
          <t>O</t>
        </r>
        <r>
          <rPr>
            <vertAlign val="subscript"/>
            <sz val="8"/>
            <color indexed="81"/>
            <rFont val="Tahoma"/>
            <family val="2"/>
          </rPr>
          <t>3</t>
        </r>
        <r>
          <rPr>
            <sz val="8"/>
            <color indexed="81"/>
            <rFont val="Tahoma"/>
            <family val="2"/>
          </rPr>
          <t xml:space="preserve"> has not been analyzed, and all Fe is expressed as FeO.  This program can calculate hypothetical Fe</t>
        </r>
        <r>
          <rPr>
            <vertAlign val="superscript"/>
            <sz val="8"/>
            <color indexed="81"/>
            <rFont val="Tahoma"/>
            <family val="2"/>
          </rPr>
          <t>3+</t>
        </r>
        <r>
          <rPr>
            <sz val="8"/>
            <color indexed="81"/>
            <rFont val="Tahoma"/>
            <family val="2"/>
          </rPr>
          <t xml:space="preserve"> based on the stoichiometry of the mineral (known numbers of cations, anions, and ion charges). Type in your data in the yellow areas, the results come out in the blue areas.</t>
        </r>
      </text>
    </comment>
  </commentList>
</comments>
</file>

<file path=xl/comments6.xml><?xml version="1.0" encoding="utf-8"?>
<comments xmlns="http://schemas.openxmlformats.org/spreadsheetml/2006/main">
  <authors>
    <author>A satisfied Microsoft Office user</author>
  </authors>
  <commentList>
    <comment ref="G1" authorId="0" shapeId="0">
      <text>
        <r>
          <rPr>
            <sz val="8"/>
            <color indexed="81"/>
            <rFont val="Tahoma"/>
            <family val="2"/>
          </rPr>
          <t>This program calculates the simple chemical formula of a mineral from its Fe2+-only cation proportions.  This program calculates hypothetical Fe</t>
        </r>
        <r>
          <rPr>
            <vertAlign val="superscript"/>
            <sz val="8"/>
            <color indexed="81"/>
            <rFont val="Tahoma"/>
            <family val="2"/>
          </rPr>
          <t>3+</t>
        </r>
        <r>
          <rPr>
            <sz val="8"/>
            <color indexed="81"/>
            <rFont val="Tahoma"/>
            <family val="2"/>
          </rPr>
          <t xml:space="preserve"> based on the stoichiometry of the mineral (known numbers of cations, anions, and ion charges). Type in your data in the yellow areas, the results come out in the blue areas.</t>
        </r>
      </text>
    </comment>
  </commentList>
</comments>
</file>

<file path=xl/sharedStrings.xml><?xml version="1.0" encoding="utf-8"?>
<sst xmlns="http://schemas.openxmlformats.org/spreadsheetml/2006/main" count="214" uniqueCount="110">
  <si>
    <t>Mineral cell volumes</t>
  </si>
  <si>
    <t>Help</t>
  </si>
  <si>
    <t>Crystal system</t>
  </si>
  <si>
    <t>Axial angles</t>
  </si>
  <si>
    <t>Isometric</t>
  </si>
  <si>
    <t>a axis length:</t>
  </si>
  <si>
    <t>Tetragonal</t>
  </si>
  <si>
    <t>c axis length:</t>
  </si>
  <si>
    <t>Orthorhombic</t>
  </si>
  <si>
    <t>b axis length:</t>
  </si>
  <si>
    <t>Monoclinic</t>
  </si>
  <si>
    <t>Beta:</t>
  </si>
  <si>
    <t>Triclinic</t>
  </si>
  <si>
    <t>Alpha:</t>
  </si>
  <si>
    <t>Gamma:</t>
  </si>
  <si>
    <t>Hexagonal, Trigonal</t>
  </si>
  <si>
    <t>Unit cell volume, in cubic Angstroms:</t>
  </si>
  <si>
    <t>Number of formulae in the unit cell (Z):</t>
  </si>
  <si>
    <t>Mineral Formula:</t>
  </si>
  <si>
    <t>Si</t>
  </si>
  <si>
    <t>Ti</t>
  </si>
  <si>
    <t>Al</t>
  </si>
  <si>
    <t>Fe+3</t>
  </si>
  <si>
    <t>Fe+2</t>
  </si>
  <si>
    <t>Mn</t>
  </si>
  <si>
    <t>Mg</t>
  </si>
  <si>
    <t>Ca</t>
  </si>
  <si>
    <t>Na</t>
  </si>
  <si>
    <t>K</t>
  </si>
  <si>
    <t>O</t>
  </si>
  <si>
    <t>Total atoms</t>
  </si>
  <si>
    <t>Gram formula weight, g/mole</t>
  </si>
  <si>
    <t>Mineral density:</t>
  </si>
  <si>
    <t xml:space="preserve"> g/cc</t>
  </si>
  <si>
    <t>Mineral:</t>
  </si>
  <si>
    <t>Calculations, don't touch!</t>
  </si>
  <si>
    <t>Analyzed</t>
  </si>
  <si>
    <t>Cations/</t>
  </si>
  <si>
    <t>Fe3+</t>
  </si>
  <si>
    <t>Amount</t>
  </si>
  <si>
    <t>formula</t>
  </si>
  <si>
    <t>corrected</t>
  </si>
  <si>
    <t>Analyzed/</t>
  </si>
  <si>
    <t>Corrected</t>
  </si>
  <si>
    <t>Normalized</t>
  </si>
  <si>
    <t>Cation</t>
  </si>
  <si>
    <t>Carge</t>
  </si>
  <si>
    <t>Absolute</t>
  </si>
  <si>
    <t>Oxide</t>
  </si>
  <si>
    <t>wt. %</t>
  </si>
  <si>
    <t>unit</t>
  </si>
  <si>
    <t>analysis</t>
  </si>
  <si>
    <t>Mol. Wt.</t>
  </si>
  <si>
    <t>Anions</t>
  </si>
  <si>
    <t>Cations</t>
  </si>
  <si>
    <t>Mol.Wt.</t>
  </si>
  <si>
    <t>cations</t>
  </si>
  <si>
    <t>charges</t>
  </si>
  <si>
    <t>Cont.</t>
  </si>
  <si>
    <t>Values</t>
  </si>
  <si>
    <t>SiO2</t>
  </si>
  <si>
    <t>TiO2</t>
  </si>
  <si>
    <t>Al2O3</t>
  </si>
  <si>
    <t>Fe2O3</t>
  </si>
  <si>
    <t>FeO</t>
  </si>
  <si>
    <t>MnO</t>
  </si>
  <si>
    <t>MgO</t>
  </si>
  <si>
    <t>CaO</t>
  </si>
  <si>
    <t>Na2O</t>
  </si>
  <si>
    <t>K2O</t>
  </si>
  <si>
    <t>P2O5</t>
  </si>
  <si>
    <t>Total:</t>
  </si>
  <si>
    <t>Oxygens/formula:</t>
  </si>
  <si>
    <t>(you must enter a value here)</t>
  </si>
  <si>
    <t>Oxygen correction factor:</t>
  </si>
  <si>
    <t>Cation normalizing factor:</t>
  </si>
  <si>
    <t>Number of Fe3+:</t>
  </si>
  <si>
    <t>Biotite</t>
  </si>
  <si>
    <t>P</t>
  </si>
  <si>
    <t>Total</t>
  </si>
  <si>
    <t>Correction factor:</t>
  </si>
  <si>
    <t>Oxygens/formula unit:</t>
  </si>
  <si>
    <t>Cations/formula unit:</t>
  </si>
  <si>
    <t>Amount analyzed</t>
  </si>
  <si>
    <t>Amount/mol.wt.</t>
  </si>
  <si>
    <t>Corrected cations</t>
  </si>
  <si>
    <t>Cell gram formula weight, g/mole of cells</t>
  </si>
  <si>
    <t>Atomic weight</t>
  </si>
  <si>
    <t>Contributions to gram formula weight:</t>
  </si>
  <si>
    <t>Crystal axes, Å</t>
  </si>
  <si>
    <t>Charge</t>
  </si>
  <si>
    <t xml:space="preserve">per </t>
  </si>
  <si>
    <t>cation</t>
  </si>
  <si>
    <t>Correction factor</t>
  </si>
  <si>
    <t>Uncorrected</t>
  </si>
  <si>
    <t>cations per</t>
  </si>
  <si>
    <t>formula unit</t>
  </si>
  <si>
    <t>Mineral structural formula, ferric iron correction from cations</t>
  </si>
  <si>
    <t>Mineral structural formula, ferric iron correction from wt. % oxides</t>
  </si>
  <si>
    <t>Mineral structural formula from wt. % of the oxides</t>
  </si>
  <si>
    <t>Mineral density</t>
  </si>
  <si>
    <r>
      <t>Cell volume, Å</t>
    </r>
    <r>
      <rPr>
        <b/>
        <vertAlign val="superscript"/>
        <sz val="10"/>
        <rFont val="Arial"/>
        <family val="2"/>
      </rPr>
      <t>3</t>
    </r>
  </si>
  <si>
    <t>Mineral wt. % of the oxides from the structural formula</t>
  </si>
  <si>
    <t>H</t>
  </si>
  <si>
    <t>Muscovite</t>
  </si>
  <si>
    <t>H2O</t>
  </si>
  <si>
    <t>Cations in formula</t>
  </si>
  <si>
    <t>Oxide weight proportions</t>
  </si>
  <si>
    <t>Oxide weight %</t>
  </si>
  <si>
    <t>Mol. wt./ 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</si>
</sst>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0"/>
  </numFmts>
  <fonts count="12" x14ac:knownFonts="1">
    <font>
      <sz val="10"/>
      <name val="Helv"/>
    </font>
    <font>
      <b/>
      <sz val="10"/>
      <name val="Helv"/>
    </font>
    <font>
      <sz val="8"/>
      <color indexed="81"/>
      <name val="Tahoma"/>
      <family val="2"/>
    </font>
    <font>
      <b/>
      <sz val="12"/>
      <name val="Arial"/>
      <family val="2"/>
    </font>
    <font>
      <b/>
      <sz val="10"/>
      <name val="Arial"/>
      <family val="2"/>
    </font>
    <font>
      <vertAlign val="superscript"/>
      <sz val="8"/>
      <color indexed="81"/>
      <name val="Tahoma"/>
      <family val="2"/>
    </font>
    <font>
      <vertAlign val="subscript"/>
      <sz val="8"/>
      <color indexed="81"/>
      <name val="Tahoma"/>
      <family val="2"/>
    </font>
    <font>
      <sz val="10"/>
      <name val="Arial"/>
      <family val="2"/>
    </font>
    <font>
      <sz val="12"/>
      <name val="Arial"/>
      <family val="2"/>
    </font>
    <font>
      <b/>
      <vertAlign val="superscript"/>
      <sz val="10"/>
      <name val="Arial"/>
      <family val="2"/>
    </font>
    <font>
      <sz val="10"/>
      <color theme="0" tint="-0.249977111117893"/>
      <name val="Arial"/>
      <family val="2"/>
    </font>
    <font>
      <b/>
      <sz val="10"/>
      <color theme="0" tint="-0.249977111117893"/>
      <name val="Arial"/>
      <family val="2"/>
    </font>
  </fonts>
  <fills count="10">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lightGray">
        <fgColor indexed="13"/>
        <bgColor indexed="43"/>
      </patternFill>
    </fill>
    <fill>
      <patternFill patternType="lightGray">
        <fgColor indexed="15"/>
        <bgColor indexed="41"/>
      </patternFill>
    </fill>
    <fill>
      <patternFill patternType="solid">
        <fgColor rgb="FF66FFFF"/>
        <bgColor indexed="64"/>
      </patternFill>
    </fill>
    <fill>
      <patternFill patternType="solid">
        <fgColor rgb="FFFFFF99"/>
        <bgColor indexed="64"/>
      </patternFill>
    </fill>
    <fill>
      <patternFill patternType="lightGray">
        <fgColor indexed="13"/>
        <bgColor rgb="FFFFFF99"/>
      </patternFill>
    </fill>
    <fill>
      <patternFill patternType="solid">
        <fgColor rgb="FFFF9999"/>
        <bgColor indexed="64"/>
      </patternFill>
    </fill>
  </fills>
  <borders count="17">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hair">
        <color indexed="64"/>
      </top>
      <bottom style="hair">
        <color indexed="64"/>
      </bottom>
      <diagonal/>
    </border>
  </borders>
  <cellStyleXfs count="1">
    <xf numFmtId="0" fontId="0" fillId="0" borderId="0"/>
  </cellStyleXfs>
  <cellXfs count="168">
    <xf numFmtId="0" fontId="0" fillId="0" borderId="0" xfId="0"/>
    <xf numFmtId="0" fontId="4" fillId="0" borderId="1" xfId="0" applyFont="1" applyBorder="1" applyProtection="1"/>
    <xf numFmtId="0" fontId="4" fillId="0" borderId="0" xfId="0" applyFont="1" applyBorder="1" applyAlignment="1" applyProtection="1">
      <alignment horizontal="right"/>
    </xf>
    <xf numFmtId="0" fontId="4" fillId="0" borderId="1" xfId="0" applyFont="1" applyBorder="1" applyAlignment="1" applyProtection="1">
      <alignment horizontal="right"/>
    </xf>
    <xf numFmtId="0" fontId="0" fillId="0" borderId="0" xfId="0" applyFill="1"/>
    <xf numFmtId="0" fontId="0" fillId="0" borderId="0" xfId="0" applyNumberFormat="1" applyFill="1" applyBorder="1"/>
    <xf numFmtId="0" fontId="0" fillId="0" borderId="0" xfId="0" applyNumberFormat="1" applyFill="1"/>
    <xf numFmtId="0" fontId="0" fillId="0" borderId="0" xfId="0" applyFill="1" applyBorder="1"/>
    <xf numFmtId="164" fontId="4" fillId="0" borderId="0" xfId="0" applyNumberFormat="1" applyFont="1" applyBorder="1" applyProtection="1"/>
    <xf numFmtId="0" fontId="4" fillId="0" borderId="0" xfId="0" applyFont="1" applyBorder="1" applyProtection="1"/>
    <xf numFmtId="0" fontId="3" fillId="0" borderId="0" xfId="0" applyNumberFormat="1" applyFont="1" applyFill="1" applyBorder="1"/>
    <xf numFmtId="0" fontId="7" fillId="0" borderId="0" xfId="0" applyNumberFormat="1" applyFont="1" applyFill="1" applyBorder="1"/>
    <xf numFmtId="0" fontId="8" fillId="0" borderId="0" xfId="0" applyNumberFormat="1" applyFont="1" applyFill="1" applyBorder="1" applyAlignment="1">
      <alignment horizontal="center"/>
    </xf>
    <xf numFmtId="0" fontId="7" fillId="0" borderId="1" xfId="0" applyNumberFormat="1" applyFont="1" applyFill="1" applyBorder="1"/>
    <xf numFmtId="0" fontId="7" fillId="0" borderId="2" xfId="0" applyNumberFormat="1" applyFont="1" applyFill="1" applyBorder="1"/>
    <xf numFmtId="0" fontId="7" fillId="0" borderId="1" xfId="0" applyFont="1" applyFill="1" applyBorder="1"/>
    <xf numFmtId="0" fontId="7" fillId="0" borderId="0" xfId="0" applyNumberFormat="1" applyFont="1" applyFill="1"/>
    <xf numFmtId="0" fontId="4" fillId="0" borderId="0" xfId="0" applyNumberFormat="1" applyFont="1" applyFill="1"/>
    <xf numFmtId="2" fontId="4" fillId="0" borderId="0" xfId="0" applyNumberFormat="1" applyFont="1" applyFill="1"/>
    <xf numFmtId="0" fontId="7" fillId="0" borderId="3" xfId="0" applyNumberFormat="1" applyFont="1" applyFill="1" applyBorder="1"/>
    <xf numFmtId="0" fontId="7" fillId="0" borderId="4" xfId="0" applyNumberFormat="1" applyFont="1" applyFill="1" applyBorder="1"/>
    <xf numFmtId="0" fontId="7" fillId="0" borderId="4" xfId="0" applyFont="1" applyFill="1" applyBorder="1"/>
    <xf numFmtId="0" fontId="7" fillId="0" borderId="2" xfId="0" applyFont="1" applyFill="1" applyBorder="1"/>
    <xf numFmtId="2" fontId="4" fillId="0" borderId="5" xfId="0" applyNumberFormat="1" applyFont="1" applyFill="1" applyBorder="1"/>
    <xf numFmtId="0" fontId="7" fillId="0" borderId="6" xfId="0" applyFont="1" applyFill="1" applyBorder="1"/>
    <xf numFmtId="2" fontId="4" fillId="0" borderId="7" xfId="0" applyNumberFormat="1" applyFont="1" applyFill="1" applyBorder="1"/>
    <xf numFmtId="0" fontId="7" fillId="0" borderId="8" xfId="0" applyNumberFormat="1" applyFont="1" applyFill="1" applyBorder="1"/>
    <xf numFmtId="0" fontId="4" fillId="0" borderId="0" xfId="0" applyNumberFormat="1" applyFont="1" applyFill="1" applyBorder="1"/>
    <xf numFmtId="0" fontId="4" fillId="0" borderId="1" xfId="0" applyNumberFormat="1" applyFont="1" applyFill="1" applyBorder="1"/>
    <xf numFmtId="0" fontId="7" fillId="0" borderId="0" xfId="0" applyFont="1" applyFill="1" applyBorder="1"/>
    <xf numFmtId="0" fontId="7" fillId="0" borderId="5" xfId="0" applyNumberFormat="1" applyFont="1" applyFill="1" applyBorder="1"/>
    <xf numFmtId="2" fontId="4" fillId="6" borderId="5" xfId="0" applyNumberFormat="1" applyFont="1" applyFill="1" applyBorder="1"/>
    <xf numFmtId="2" fontId="4" fillId="6" borderId="9" xfId="0" applyNumberFormat="1" applyFont="1" applyFill="1" applyBorder="1"/>
    <xf numFmtId="0" fontId="4" fillId="7" borderId="10" xfId="0" applyNumberFormat="1" applyFont="1" applyFill="1" applyBorder="1" applyProtection="1">
      <protection locked="0"/>
    </xf>
    <xf numFmtId="0" fontId="4" fillId="7" borderId="11" xfId="0" applyNumberFormat="1" applyFont="1" applyFill="1" applyBorder="1" applyProtection="1">
      <protection locked="0"/>
    </xf>
    <xf numFmtId="0" fontId="4" fillId="7" borderId="12" xfId="0" applyNumberFormat="1" applyFont="1" applyFill="1" applyBorder="1" applyProtection="1">
      <protection locked="0"/>
    </xf>
    <xf numFmtId="0" fontId="4" fillId="7" borderId="0" xfId="0" applyNumberFormat="1" applyFont="1" applyFill="1" applyBorder="1" applyAlignment="1" applyProtection="1">
      <alignment horizontal="right"/>
      <protection locked="0"/>
    </xf>
    <xf numFmtId="0" fontId="4" fillId="7" borderId="0" xfId="0" applyNumberFormat="1" applyFont="1" applyFill="1" applyBorder="1" applyProtection="1">
      <protection locked="0"/>
    </xf>
    <xf numFmtId="0" fontId="4" fillId="7" borderId="1" xfId="0" applyNumberFormat="1" applyFont="1" applyFill="1" applyBorder="1" applyProtection="1">
      <protection locked="0"/>
    </xf>
    <xf numFmtId="0" fontId="0" fillId="0" borderId="0" xfId="0" applyNumberFormat="1" applyFont="1" applyFill="1" applyBorder="1"/>
    <xf numFmtId="0" fontId="0" fillId="0" borderId="0" xfId="0" applyFont="1" applyFill="1" applyBorder="1"/>
    <xf numFmtId="0" fontId="4" fillId="0" borderId="4" xfId="0" applyNumberFormat="1" applyFont="1" applyFill="1" applyBorder="1"/>
    <xf numFmtId="0" fontId="4" fillId="7" borderId="4" xfId="0" applyNumberFormat="1" applyFont="1" applyFill="1" applyBorder="1" applyProtection="1">
      <protection locked="0"/>
    </xf>
    <xf numFmtId="2" fontId="1" fillId="6" borderId="9" xfId="0" applyNumberFormat="1" applyFont="1" applyFill="1" applyBorder="1"/>
    <xf numFmtId="0" fontId="7" fillId="0" borderId="0" xfId="0" applyFont="1" applyBorder="1" applyProtection="1"/>
    <xf numFmtId="0" fontId="7" fillId="0" borderId="0" xfId="0" applyFont="1" applyProtection="1"/>
    <xf numFmtId="0" fontId="7" fillId="0" borderId="3" xfId="0" applyFont="1" applyBorder="1" applyProtection="1"/>
    <xf numFmtId="0" fontId="7" fillId="0" borderId="4" xfId="0" applyFont="1" applyBorder="1" applyProtection="1"/>
    <xf numFmtId="0" fontId="7" fillId="0" borderId="6" xfId="0" applyFont="1" applyBorder="1" applyProtection="1"/>
    <xf numFmtId="2" fontId="7" fillId="4" borderId="11" xfId="0" applyNumberFormat="1" applyFont="1" applyFill="1" applyBorder="1" applyProtection="1">
      <protection locked="0"/>
    </xf>
    <xf numFmtId="164" fontId="7" fillId="5" borderId="0" xfId="0" applyNumberFormat="1" applyFont="1" applyFill="1" applyBorder="1" applyProtection="1"/>
    <xf numFmtId="2" fontId="7" fillId="5" borderId="0" xfId="0" applyNumberFormat="1" applyFont="1" applyFill="1" applyBorder="1" applyProtection="1"/>
    <xf numFmtId="164" fontId="7" fillId="0" borderId="0" xfId="0" applyNumberFormat="1" applyFont="1" applyBorder="1" applyProtection="1"/>
    <xf numFmtId="2" fontId="7" fillId="4" borderId="12" xfId="0" applyNumberFormat="1" applyFont="1" applyFill="1" applyBorder="1" applyProtection="1">
      <protection locked="0"/>
    </xf>
    <xf numFmtId="2" fontId="7" fillId="4" borderId="10" xfId="0" applyNumberFormat="1" applyFont="1" applyFill="1" applyBorder="1" applyProtection="1">
      <protection locked="0"/>
    </xf>
    <xf numFmtId="164" fontId="7" fillId="5" borderId="1" xfId="0" applyNumberFormat="1" applyFont="1" applyFill="1" applyBorder="1" applyProtection="1"/>
    <xf numFmtId="2" fontId="7" fillId="5" borderId="1" xfId="0" applyNumberFormat="1" applyFont="1" applyFill="1" applyBorder="1" applyProtection="1"/>
    <xf numFmtId="2" fontId="7" fillId="2" borderId="0" xfId="0" applyNumberFormat="1" applyFont="1" applyFill="1" applyBorder="1" applyProtection="1"/>
    <xf numFmtId="0" fontId="7" fillId="4" borderId="11" xfId="0" applyFont="1" applyFill="1" applyBorder="1" applyProtection="1">
      <protection locked="0"/>
    </xf>
    <xf numFmtId="0" fontId="7" fillId="4" borderId="10" xfId="0" applyFont="1" applyFill="1" applyBorder="1" applyProtection="1">
      <protection locked="0"/>
    </xf>
    <xf numFmtId="165" fontId="7" fillId="0" borderId="8" xfId="0" applyNumberFormat="1" applyFont="1" applyFill="1" applyBorder="1" applyAlignment="1">
      <alignment horizontal="left"/>
    </xf>
    <xf numFmtId="165" fontId="7" fillId="0" borderId="8" xfId="0" applyNumberFormat="1" applyFont="1" applyFill="1" applyBorder="1"/>
    <xf numFmtId="165" fontId="7" fillId="0" borderId="8" xfId="0" applyNumberFormat="1" applyFont="1" applyFill="1" applyBorder="1" applyAlignment="1">
      <alignment horizontal="right"/>
    </xf>
    <xf numFmtId="165" fontId="7" fillId="0" borderId="13" xfId="0" applyNumberFormat="1" applyFont="1" applyFill="1" applyBorder="1" applyAlignment="1">
      <alignment horizontal="right"/>
    </xf>
    <xf numFmtId="165" fontId="7" fillId="0" borderId="0" xfId="0" applyNumberFormat="1" applyFont="1" applyFill="1" applyBorder="1"/>
    <xf numFmtId="165" fontId="7" fillId="0" borderId="0" xfId="0" applyNumberFormat="1" applyFont="1" applyFill="1"/>
    <xf numFmtId="165" fontId="7" fillId="0" borderId="0" xfId="0" applyNumberFormat="1" applyFont="1" applyFill="1" applyBorder="1" applyAlignment="1">
      <alignment horizontal="left"/>
    </xf>
    <xf numFmtId="165" fontId="7" fillId="0" borderId="0" xfId="0" applyNumberFormat="1" applyFont="1" applyFill="1" applyBorder="1" applyAlignment="1">
      <alignment horizontal="right"/>
    </xf>
    <xf numFmtId="165" fontId="7" fillId="0" borderId="0" xfId="0" applyNumberFormat="1" applyFont="1" applyFill="1" applyAlignment="1">
      <alignment horizontal="left"/>
    </xf>
    <xf numFmtId="165" fontId="4" fillId="0" borderId="0" xfId="0" applyNumberFormat="1" applyFont="1" applyFill="1" applyBorder="1" applyAlignment="1" applyProtection="1">
      <alignment horizontal="left"/>
      <protection locked="0"/>
    </xf>
    <xf numFmtId="165" fontId="4" fillId="0" borderId="0" xfId="0" applyNumberFormat="1" applyFont="1" applyFill="1" applyBorder="1" applyProtection="1">
      <protection locked="0"/>
    </xf>
    <xf numFmtId="165" fontId="4" fillId="0" borderId="0" xfId="0" applyNumberFormat="1" applyFont="1" applyFill="1" applyBorder="1" applyAlignment="1" applyProtection="1">
      <alignment horizontal="right"/>
      <protection locked="0"/>
    </xf>
    <xf numFmtId="164" fontId="7" fillId="0" borderId="1" xfId="0" applyNumberFormat="1" applyFont="1" applyFill="1" applyBorder="1"/>
    <xf numFmtId="1" fontId="7" fillId="0" borderId="0" xfId="0" applyNumberFormat="1" applyFont="1" applyFill="1" applyBorder="1"/>
    <xf numFmtId="164" fontId="7" fillId="0" borderId="0" xfId="0" applyNumberFormat="1" applyFont="1" applyFill="1"/>
    <xf numFmtId="165" fontId="7" fillId="0" borderId="1" xfId="0" applyNumberFormat="1" applyFont="1" applyFill="1" applyBorder="1" applyAlignment="1">
      <alignment horizontal="left"/>
    </xf>
    <xf numFmtId="165" fontId="7" fillId="0" borderId="1" xfId="0" applyNumberFormat="1" applyFont="1" applyFill="1" applyBorder="1"/>
    <xf numFmtId="1" fontId="7" fillId="0" borderId="1" xfId="0" applyNumberFormat="1" applyFont="1" applyFill="1" applyBorder="1"/>
    <xf numFmtId="0" fontId="4" fillId="3" borderId="14" xfId="0" applyNumberFormat="1" applyFont="1" applyFill="1" applyBorder="1" applyProtection="1">
      <protection locked="0"/>
    </xf>
    <xf numFmtId="0" fontId="7" fillId="0" borderId="0" xfId="0" applyNumberFormat="1" applyFont="1" applyFill="1" applyProtection="1"/>
    <xf numFmtId="0" fontId="7" fillId="0" borderId="0" xfId="0" applyFont="1" applyFill="1" applyProtection="1"/>
    <xf numFmtId="0" fontId="7" fillId="0" borderId="0" xfId="0" applyNumberFormat="1" applyFont="1" applyFill="1" applyAlignment="1" applyProtection="1">
      <alignment horizontal="center"/>
    </xf>
    <xf numFmtId="165" fontId="7" fillId="0" borderId="0" xfId="0" applyNumberFormat="1" applyFont="1" applyFill="1" applyProtection="1"/>
    <xf numFmtId="164" fontId="7" fillId="0" borderId="11" xfId="0" applyNumberFormat="1" applyFont="1" applyFill="1" applyBorder="1" applyProtection="1"/>
    <xf numFmtId="164" fontId="7" fillId="0" borderId="12" xfId="0" applyNumberFormat="1" applyFont="1" applyFill="1" applyBorder="1" applyProtection="1"/>
    <xf numFmtId="165" fontId="7" fillId="0" borderId="1" xfId="0" applyNumberFormat="1" applyFont="1" applyFill="1" applyBorder="1" applyProtection="1"/>
    <xf numFmtId="164" fontId="7" fillId="0" borderId="10" xfId="0" applyNumberFormat="1" applyFont="1" applyFill="1" applyBorder="1" applyProtection="1"/>
    <xf numFmtId="164" fontId="7" fillId="2" borderId="0" xfId="0" applyNumberFormat="1" applyFont="1" applyFill="1" applyProtection="1"/>
    <xf numFmtId="0" fontId="7" fillId="0" borderId="15" xfId="0" applyNumberFormat="1" applyFont="1" applyFill="1" applyBorder="1" applyProtection="1"/>
    <xf numFmtId="0" fontId="7" fillId="0" borderId="8" xfId="0" applyFont="1" applyFill="1" applyBorder="1" applyProtection="1"/>
    <xf numFmtId="164" fontId="7" fillId="0" borderId="0" xfId="0" applyNumberFormat="1" applyFont="1" applyFill="1" applyBorder="1" applyProtection="1"/>
    <xf numFmtId="0" fontId="10" fillId="0" borderId="0" xfId="0" applyFont="1" applyBorder="1" applyProtection="1"/>
    <xf numFmtId="0" fontId="10" fillId="0" borderId="0" xfId="0" applyFont="1" applyFill="1" applyBorder="1" applyProtection="1"/>
    <xf numFmtId="0" fontId="10" fillId="0" borderId="0" xfId="0" applyFont="1" applyProtection="1"/>
    <xf numFmtId="0" fontId="11" fillId="0" borderId="3" xfId="0" applyFont="1" applyFill="1" applyBorder="1" applyProtection="1"/>
    <xf numFmtId="0" fontId="11" fillId="0" borderId="4" xfId="0" applyFont="1" applyFill="1" applyBorder="1" applyProtection="1"/>
    <xf numFmtId="0" fontId="10" fillId="0" borderId="9" xfId="0" applyFont="1" applyFill="1" applyBorder="1" applyProtection="1"/>
    <xf numFmtId="0" fontId="11" fillId="0" borderId="6" xfId="0" applyFont="1" applyFill="1" applyBorder="1" applyAlignment="1" applyProtection="1">
      <alignment horizontal="right"/>
    </xf>
    <xf numFmtId="0" fontId="11" fillId="0" borderId="0" xfId="0" applyFont="1" applyFill="1" applyBorder="1" applyAlignment="1" applyProtection="1">
      <alignment horizontal="right"/>
    </xf>
    <xf numFmtId="0" fontId="10" fillId="0" borderId="7" xfId="0" applyFont="1" applyFill="1" applyBorder="1" applyProtection="1"/>
    <xf numFmtId="0" fontId="11" fillId="0" borderId="0" xfId="0" applyFont="1" applyBorder="1" applyAlignment="1" applyProtection="1">
      <alignment horizontal="right"/>
    </xf>
    <xf numFmtId="0" fontId="11" fillId="0" borderId="7" xfId="0" applyFont="1" applyFill="1" applyBorder="1" applyAlignment="1" applyProtection="1">
      <alignment horizontal="right"/>
    </xf>
    <xf numFmtId="165" fontId="10" fillId="0" borderId="6" xfId="0" applyNumberFormat="1" applyFont="1" applyFill="1" applyBorder="1" applyProtection="1"/>
    <xf numFmtId="165" fontId="10" fillId="0" borderId="0" xfId="0" applyNumberFormat="1" applyFont="1" applyFill="1" applyBorder="1" applyProtection="1"/>
    <xf numFmtId="164" fontId="10" fillId="0" borderId="0" xfId="0" applyNumberFormat="1" applyFont="1" applyFill="1" applyBorder="1" applyProtection="1"/>
    <xf numFmtId="164" fontId="10" fillId="0" borderId="0" xfId="0" applyNumberFormat="1" applyFont="1" applyBorder="1" applyProtection="1"/>
    <xf numFmtId="164" fontId="10" fillId="0" borderId="7" xfId="0" applyNumberFormat="1" applyFont="1" applyFill="1" applyBorder="1" applyProtection="1"/>
    <xf numFmtId="0" fontId="10" fillId="0" borderId="6" xfId="0" applyFont="1" applyFill="1" applyBorder="1" applyProtection="1"/>
    <xf numFmtId="0" fontId="10" fillId="0" borderId="2" xfId="0" applyFont="1" applyFill="1" applyBorder="1" applyProtection="1"/>
    <xf numFmtId="0" fontId="10" fillId="0" borderId="1" xfId="0" applyFont="1" applyFill="1" applyBorder="1" applyProtection="1"/>
    <xf numFmtId="0" fontId="10" fillId="0" borderId="5" xfId="0" applyFont="1" applyFill="1" applyBorder="1" applyProtection="1"/>
    <xf numFmtId="164" fontId="7" fillId="4" borderId="11" xfId="0" applyNumberFormat="1" applyFont="1" applyFill="1" applyBorder="1" applyProtection="1">
      <protection locked="0"/>
    </xf>
    <xf numFmtId="164" fontId="7" fillId="4" borderId="12" xfId="0" applyNumberFormat="1" applyFont="1" applyFill="1" applyBorder="1" applyProtection="1">
      <protection locked="0"/>
    </xf>
    <xf numFmtId="164" fontId="7" fillId="4" borderId="10" xfId="0" applyNumberFormat="1" applyFont="1" applyFill="1" applyBorder="1" applyProtection="1">
      <protection locked="0"/>
    </xf>
    <xf numFmtId="0" fontId="11" fillId="0" borderId="0" xfId="0" applyFont="1" applyFill="1" applyBorder="1" applyProtection="1"/>
    <xf numFmtId="0" fontId="4" fillId="0" borderId="0" xfId="0" applyFont="1" applyBorder="1" applyAlignment="1" applyProtection="1">
      <alignment horizontal="center"/>
    </xf>
    <xf numFmtId="0" fontId="4" fillId="0" borderId="1" xfId="0" applyFont="1" applyBorder="1" applyAlignment="1" applyProtection="1">
      <alignment horizontal="center"/>
    </xf>
    <xf numFmtId="0" fontId="4" fillId="0" borderId="0" xfId="0" applyFont="1" applyAlignment="1" applyProtection="1">
      <alignment horizontal="center"/>
    </xf>
    <xf numFmtId="2" fontId="7" fillId="0" borderId="0" xfId="0" applyNumberFormat="1" applyFont="1" applyFill="1" applyBorder="1" applyProtection="1"/>
    <xf numFmtId="164" fontId="7" fillId="6" borderId="10" xfId="0" applyNumberFormat="1" applyFont="1" applyFill="1" applyBorder="1" applyProtection="1"/>
    <xf numFmtId="0" fontId="7" fillId="8" borderId="11" xfId="0" applyFont="1" applyFill="1" applyBorder="1" applyProtection="1">
      <protection locked="0"/>
    </xf>
    <xf numFmtId="0" fontId="7" fillId="8" borderId="10" xfId="0" applyFont="1" applyFill="1" applyBorder="1" applyProtection="1">
      <protection locked="0"/>
    </xf>
    <xf numFmtId="164" fontId="10" fillId="0" borderId="1" xfId="0" applyNumberFormat="1" applyFont="1" applyFill="1" applyBorder="1" applyProtection="1"/>
    <xf numFmtId="164" fontId="7" fillId="2" borderId="0" xfId="0" applyNumberFormat="1" applyFont="1" applyFill="1"/>
    <xf numFmtId="164" fontId="7" fillId="2" borderId="1" xfId="0" applyNumberFormat="1" applyFont="1" applyFill="1" applyBorder="1"/>
    <xf numFmtId="2" fontId="7" fillId="3" borderId="12" xfId="0" applyNumberFormat="1" applyFont="1" applyFill="1" applyBorder="1" applyProtection="1">
      <protection locked="0"/>
    </xf>
    <xf numFmtId="2" fontId="7" fillId="3" borderId="10" xfId="0" applyNumberFormat="1" applyFont="1" applyFill="1" applyBorder="1" applyProtection="1">
      <protection locked="0"/>
    </xf>
    <xf numFmtId="2" fontId="7" fillId="2" borderId="0" xfId="0" applyNumberFormat="1" applyFont="1" applyFill="1" applyBorder="1"/>
    <xf numFmtId="165" fontId="8" fillId="0" borderId="15" xfId="0" applyNumberFormat="1" applyFont="1" applyFill="1" applyBorder="1" applyAlignment="1">
      <alignment horizontal="left"/>
    </xf>
    <xf numFmtId="165" fontId="4" fillId="0" borderId="1" xfId="0" applyNumberFormat="1" applyFont="1" applyFill="1" applyBorder="1" applyAlignment="1">
      <alignment horizontal="center" wrapText="1"/>
    </xf>
    <xf numFmtId="2" fontId="7" fillId="3" borderId="11" xfId="0" applyNumberFormat="1" applyFont="1" applyFill="1" applyBorder="1" applyProtection="1">
      <protection locked="0"/>
    </xf>
    <xf numFmtId="0" fontId="7" fillId="7" borderId="10" xfId="0" applyNumberFormat="1" applyFont="1" applyFill="1" applyBorder="1" applyProtection="1">
      <protection locked="0"/>
    </xf>
    <xf numFmtId="164" fontId="7" fillId="3" borderId="11" xfId="0" applyNumberFormat="1" applyFont="1" applyFill="1" applyBorder="1" applyProtection="1">
      <protection locked="0"/>
    </xf>
    <xf numFmtId="164" fontId="7" fillId="3" borderId="12" xfId="0" applyNumberFormat="1" applyFont="1" applyFill="1" applyBorder="1" applyProtection="1">
      <protection locked="0"/>
    </xf>
    <xf numFmtId="164" fontId="7" fillId="3" borderId="10" xfId="0" applyNumberFormat="1" applyFont="1" applyFill="1" applyBorder="1" applyProtection="1">
      <protection locked="0"/>
    </xf>
    <xf numFmtId="2" fontId="7" fillId="2" borderId="14" xfId="0" applyNumberFormat="1" applyFont="1" applyFill="1" applyBorder="1" applyProtection="1"/>
    <xf numFmtId="0" fontId="7" fillId="0" borderId="13" xfId="0" applyNumberFormat="1" applyFont="1" applyFill="1" applyBorder="1" applyProtection="1"/>
    <xf numFmtId="0" fontId="4" fillId="0" borderId="1" xfId="0" applyNumberFormat="1" applyFont="1" applyFill="1" applyBorder="1" applyAlignment="1" applyProtection="1">
      <alignment horizontal="center" wrapText="1"/>
    </xf>
    <xf numFmtId="0" fontId="4" fillId="0" borderId="0" xfId="0" applyNumberFormat="1" applyFont="1" applyFill="1" applyAlignment="1" applyProtection="1">
      <alignment horizontal="center" wrapText="1"/>
    </xf>
    <xf numFmtId="0" fontId="4" fillId="0" borderId="1" xfId="0" applyNumberFormat="1" applyFont="1" applyFill="1" applyBorder="1" applyAlignment="1">
      <alignment horizontal="left"/>
    </xf>
    <xf numFmtId="0" fontId="4" fillId="0" borderId="1" xfId="0" applyNumberFormat="1" applyFont="1" applyFill="1" applyBorder="1" applyAlignment="1">
      <alignment horizontal="center"/>
    </xf>
    <xf numFmtId="0" fontId="3" fillId="9" borderId="14" xfId="0" applyNumberFormat="1" applyFont="1" applyFill="1" applyBorder="1" applyAlignment="1">
      <alignment horizontal="center"/>
    </xf>
    <xf numFmtId="0" fontId="3" fillId="9" borderId="13" xfId="0" applyNumberFormat="1" applyFont="1" applyFill="1" applyBorder="1" applyProtection="1"/>
    <xf numFmtId="165" fontId="3" fillId="9" borderId="16" xfId="0" applyNumberFormat="1" applyFont="1" applyFill="1" applyBorder="1" applyAlignment="1">
      <alignment horizontal="center"/>
    </xf>
    <xf numFmtId="0" fontId="3" fillId="9" borderId="14" xfId="0" applyFont="1" applyFill="1" applyBorder="1" applyAlignment="1" applyProtection="1">
      <alignment horizontal="center"/>
    </xf>
    <xf numFmtId="164" fontId="7" fillId="0" borderId="0" xfId="0" applyNumberFormat="1" applyFont="1" applyFill="1" applyBorder="1"/>
    <xf numFmtId="165" fontId="7" fillId="0" borderId="7" xfId="0" applyNumberFormat="1" applyFont="1" applyFill="1" applyBorder="1"/>
    <xf numFmtId="165" fontId="7" fillId="0" borderId="5" xfId="0" applyNumberFormat="1" applyFont="1" applyFill="1" applyBorder="1"/>
    <xf numFmtId="0" fontId="4" fillId="0" borderId="1" xfId="0" applyNumberFormat="1" applyFont="1" applyFill="1" applyBorder="1" applyAlignment="1">
      <alignment horizontal="center"/>
    </xf>
    <xf numFmtId="0" fontId="8" fillId="0" borderId="15" xfId="0" applyNumberFormat="1" applyFont="1" applyFill="1" applyBorder="1" applyAlignment="1">
      <alignment horizontal="left"/>
    </xf>
    <xf numFmtId="0" fontId="8" fillId="0" borderId="8" xfId="0" applyNumberFormat="1" applyFont="1" applyFill="1" applyBorder="1" applyAlignment="1">
      <alignment horizontal="left"/>
    </xf>
    <xf numFmtId="0" fontId="8" fillId="0" borderId="13" xfId="0" applyNumberFormat="1" applyFont="1" applyFill="1" applyBorder="1" applyAlignment="1">
      <alignment horizontal="left"/>
    </xf>
    <xf numFmtId="0" fontId="8" fillId="0" borderId="15" xfId="0" applyNumberFormat="1" applyFont="1" applyFill="1" applyBorder="1" applyAlignment="1" applyProtection="1">
      <alignment horizontal="left"/>
    </xf>
    <xf numFmtId="0" fontId="8" fillId="0" borderId="8" xfId="0" applyNumberFormat="1" applyFont="1" applyFill="1" applyBorder="1" applyAlignment="1" applyProtection="1">
      <alignment horizontal="left"/>
    </xf>
    <xf numFmtId="0" fontId="8" fillId="0" borderId="13" xfId="0" applyNumberFormat="1" applyFont="1" applyFill="1" applyBorder="1" applyAlignment="1" applyProtection="1">
      <alignment horizontal="left"/>
    </xf>
    <xf numFmtId="165" fontId="7" fillId="3" borderId="15" xfId="0" applyNumberFormat="1" applyFont="1" applyFill="1" applyBorder="1" applyAlignment="1" applyProtection="1">
      <alignment horizontal="left"/>
      <protection locked="0"/>
    </xf>
    <xf numFmtId="165" fontId="7" fillId="3" borderId="8" xfId="0" applyNumberFormat="1" applyFont="1" applyFill="1" applyBorder="1" applyAlignment="1" applyProtection="1">
      <alignment horizontal="left"/>
      <protection locked="0"/>
    </xf>
    <xf numFmtId="165" fontId="7" fillId="3" borderId="13" xfId="0" applyNumberFormat="1" applyFont="1" applyFill="1" applyBorder="1" applyAlignment="1" applyProtection="1">
      <alignment horizontal="left"/>
      <protection locked="0"/>
    </xf>
    <xf numFmtId="165" fontId="7" fillId="0" borderId="15" xfId="0" applyNumberFormat="1" applyFont="1" applyFill="1" applyBorder="1" applyAlignment="1" applyProtection="1">
      <alignment horizontal="left"/>
      <protection locked="0"/>
    </xf>
    <xf numFmtId="165" fontId="7" fillId="0" borderId="8" xfId="0" applyNumberFormat="1" applyFont="1" applyFill="1" applyBorder="1" applyAlignment="1" applyProtection="1">
      <alignment horizontal="left"/>
      <protection locked="0"/>
    </xf>
    <xf numFmtId="165" fontId="7" fillId="0" borderId="13" xfId="0" applyNumberFormat="1" applyFont="1" applyFill="1" applyBorder="1" applyAlignment="1" applyProtection="1">
      <alignment horizontal="left"/>
      <protection locked="0"/>
    </xf>
    <xf numFmtId="0" fontId="7" fillId="3" borderId="15" xfId="0" applyFont="1" applyFill="1" applyBorder="1" applyAlignment="1" applyProtection="1">
      <alignment horizontal="left"/>
    </xf>
    <xf numFmtId="0" fontId="7" fillId="3" borderId="13" xfId="0" applyFont="1" applyFill="1" applyBorder="1" applyAlignment="1" applyProtection="1">
      <alignment horizontal="left"/>
    </xf>
    <xf numFmtId="0" fontId="8" fillId="0" borderId="15" xfId="0" applyFont="1" applyBorder="1" applyAlignment="1" applyProtection="1">
      <alignment horizontal="left"/>
    </xf>
    <xf numFmtId="0" fontId="8" fillId="0" borderId="8" xfId="0" applyFont="1" applyBorder="1" applyAlignment="1" applyProtection="1">
      <alignment horizontal="left"/>
    </xf>
    <xf numFmtId="0" fontId="8" fillId="0" borderId="13" xfId="0" applyFont="1" applyBorder="1" applyAlignment="1" applyProtection="1">
      <alignment horizontal="left"/>
    </xf>
    <xf numFmtId="0" fontId="7" fillId="7" borderId="15" xfId="0" applyFont="1" applyFill="1" applyBorder="1" applyAlignment="1" applyProtection="1">
      <alignment horizontal="left"/>
    </xf>
    <xf numFmtId="0" fontId="7" fillId="7" borderId="13" xfId="0" applyFont="1" applyFill="1" applyBorder="1" applyAlignment="1" applyProtection="1">
      <alignment horizontal="left"/>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0"/>
  <sheetViews>
    <sheetView workbookViewId="0">
      <selection activeCell="J22" sqref="J22"/>
    </sheetView>
  </sheetViews>
  <sheetFormatPr defaultRowHeight="12.75" x14ac:dyDescent="0.2"/>
  <cols>
    <col min="1" max="1" width="19" style="4" customWidth="1"/>
    <col min="2" max="2" width="12.7109375" style="4" customWidth="1"/>
    <col min="3" max="3" width="8.28515625" style="4" customWidth="1"/>
    <col min="4" max="4" width="2.42578125" style="4" customWidth="1"/>
    <col min="5" max="5" width="8.7109375" style="4" customWidth="1"/>
    <col min="6" max="6" width="7.28515625" style="4" customWidth="1"/>
    <col min="7" max="7" width="14.140625" style="4" customWidth="1"/>
    <col min="8" max="8" width="4.7109375" style="4" customWidth="1"/>
    <col min="9" max="9" width="12.140625" style="4" customWidth="1"/>
    <col min="10" max="10" width="36.140625" style="4" customWidth="1"/>
    <col min="11" max="11" width="12.7109375" style="4" customWidth="1"/>
    <col min="12" max="16384" width="9.140625" style="4"/>
  </cols>
  <sheetData>
    <row r="1" spans="1:11" ht="15.75" x14ac:dyDescent="0.25">
      <c r="A1" s="149" t="s">
        <v>0</v>
      </c>
      <c r="B1" s="150"/>
      <c r="C1" s="150"/>
      <c r="D1" s="150"/>
      <c r="E1" s="150"/>
      <c r="F1" s="151"/>
      <c r="G1" s="141" t="s">
        <v>1</v>
      </c>
      <c r="H1" s="6"/>
      <c r="I1" s="6"/>
      <c r="J1" s="6"/>
    </row>
    <row r="2" spans="1:11" s="7" customFormat="1" ht="12.95" customHeight="1" x14ac:dyDescent="0.25">
      <c r="A2" s="10"/>
      <c r="B2" s="11"/>
      <c r="C2" s="11"/>
      <c r="D2" s="11"/>
      <c r="E2" s="11"/>
      <c r="F2" s="11"/>
      <c r="G2" s="12"/>
      <c r="H2" s="5"/>
      <c r="I2" s="5"/>
      <c r="J2" s="5"/>
    </row>
    <row r="3" spans="1:11" ht="12.75" customHeight="1" x14ac:dyDescent="0.2">
      <c r="A3" s="139" t="s">
        <v>2</v>
      </c>
      <c r="B3" s="148" t="s">
        <v>89</v>
      </c>
      <c r="C3" s="148"/>
      <c r="D3" s="140"/>
      <c r="E3" s="148" t="s">
        <v>3</v>
      </c>
      <c r="F3" s="148"/>
      <c r="G3" s="140" t="s">
        <v>101</v>
      </c>
      <c r="H3" s="5"/>
      <c r="I3" s="6"/>
      <c r="J3" s="6"/>
    </row>
    <row r="4" spans="1:11" ht="12.95" customHeight="1" x14ac:dyDescent="0.2">
      <c r="A4" s="14" t="s">
        <v>4</v>
      </c>
      <c r="B4" s="13" t="s">
        <v>5</v>
      </c>
      <c r="C4" s="33">
        <v>3.524</v>
      </c>
      <c r="D4" s="15"/>
      <c r="E4" s="15"/>
      <c r="F4" s="15"/>
      <c r="G4" s="31">
        <f>C4^3</f>
        <v>43.763061823999998</v>
      </c>
      <c r="H4" s="6"/>
      <c r="I4" s="6"/>
      <c r="J4" s="6"/>
    </row>
    <row r="5" spans="1:11" ht="12.95" customHeight="1" x14ac:dyDescent="0.2">
      <c r="A5" s="16"/>
      <c r="B5" s="16"/>
      <c r="C5" s="17"/>
      <c r="D5" s="16"/>
      <c r="E5" s="16"/>
      <c r="F5" s="16"/>
      <c r="G5" s="18"/>
      <c r="H5" s="6"/>
      <c r="I5" s="6"/>
      <c r="J5" s="6"/>
    </row>
    <row r="6" spans="1:11" ht="12.95" customHeight="1" x14ac:dyDescent="0.2">
      <c r="A6" s="19" t="s">
        <v>6</v>
      </c>
      <c r="B6" s="20" t="s">
        <v>5</v>
      </c>
      <c r="C6" s="34">
        <v>1.526</v>
      </c>
      <c r="D6" s="21"/>
      <c r="E6" s="21"/>
      <c r="F6" s="21"/>
      <c r="G6" s="32">
        <f>C6^2*C7</f>
        <v>6.2059215400000003</v>
      </c>
      <c r="H6" s="6"/>
      <c r="I6" s="6"/>
      <c r="J6" s="6"/>
    </row>
    <row r="7" spans="1:11" ht="12.95" customHeight="1" x14ac:dyDescent="0.2">
      <c r="A7" s="22"/>
      <c r="B7" s="13" t="s">
        <v>7</v>
      </c>
      <c r="C7" s="33">
        <v>2.665</v>
      </c>
      <c r="D7" s="13"/>
      <c r="E7" s="13"/>
      <c r="F7" s="13"/>
      <c r="G7" s="23"/>
      <c r="H7" s="6"/>
      <c r="I7" s="6"/>
      <c r="J7" s="6"/>
    </row>
    <row r="8" spans="1:11" ht="12.95" customHeight="1" x14ac:dyDescent="0.2">
      <c r="A8" s="16"/>
      <c r="B8" s="16"/>
      <c r="C8" s="17"/>
      <c r="D8" s="16"/>
      <c r="E8" s="16"/>
      <c r="F8" s="16"/>
      <c r="G8" s="18"/>
      <c r="H8" s="6"/>
      <c r="I8" s="6"/>
      <c r="J8" s="6"/>
    </row>
    <row r="9" spans="1:11" ht="12.95" customHeight="1" x14ac:dyDescent="0.2">
      <c r="A9" s="19" t="s">
        <v>8</v>
      </c>
      <c r="B9" s="20" t="s">
        <v>5</v>
      </c>
      <c r="C9" s="34">
        <v>6.5179999999999998</v>
      </c>
      <c r="D9" s="21"/>
      <c r="E9" s="21"/>
      <c r="F9" s="21"/>
      <c r="G9" s="32">
        <f>C9*C10*C11</f>
        <v>380.34051301199997</v>
      </c>
      <c r="H9" s="6"/>
      <c r="I9" s="6"/>
      <c r="J9" s="6"/>
    </row>
    <row r="10" spans="1:11" ht="12.95" customHeight="1" x14ac:dyDescent="0.2">
      <c r="A10" s="24"/>
      <c r="B10" s="11" t="s">
        <v>9</v>
      </c>
      <c r="C10" s="35">
        <v>6.5220000000000002</v>
      </c>
      <c r="D10" s="11"/>
      <c r="E10" s="11"/>
      <c r="F10" s="11"/>
      <c r="G10" s="25"/>
      <c r="H10" s="6"/>
      <c r="I10" s="6"/>
      <c r="J10" s="6"/>
    </row>
    <row r="11" spans="1:11" ht="12.95" customHeight="1" x14ac:dyDescent="0.2">
      <c r="A11" s="22"/>
      <c r="B11" s="13" t="s">
        <v>7</v>
      </c>
      <c r="C11" s="33">
        <v>8.9469999999999992</v>
      </c>
      <c r="D11" s="13"/>
      <c r="E11" s="13"/>
      <c r="F11" s="13"/>
      <c r="G11" s="23"/>
      <c r="H11" s="6"/>
      <c r="I11" s="6"/>
      <c r="J11" s="6"/>
    </row>
    <row r="12" spans="1:11" ht="12.95" customHeight="1" x14ac:dyDescent="0.2">
      <c r="A12" s="16"/>
      <c r="B12" s="16"/>
      <c r="C12" s="17"/>
      <c r="D12" s="16"/>
      <c r="E12" s="16"/>
      <c r="F12" s="26"/>
      <c r="G12" s="18"/>
      <c r="H12" s="6"/>
      <c r="I12" s="5"/>
      <c r="J12" s="5"/>
      <c r="K12" s="7"/>
    </row>
    <row r="13" spans="1:11" ht="12.95" customHeight="1" x14ac:dyDescent="0.2">
      <c r="A13" s="19" t="s">
        <v>10</v>
      </c>
      <c r="B13" s="20" t="s">
        <v>5</v>
      </c>
      <c r="C13" s="34">
        <v>4.1029999999999998</v>
      </c>
      <c r="D13" s="21"/>
      <c r="E13" s="20" t="s">
        <v>11</v>
      </c>
      <c r="F13" s="36">
        <v>104.2</v>
      </c>
      <c r="G13" s="32">
        <f>C13*C14*C15*SIN(RADIANS(F13))</f>
        <v>119.12403675882197</v>
      </c>
      <c r="H13" s="6"/>
      <c r="I13" s="5"/>
      <c r="J13" s="5"/>
      <c r="K13" s="7"/>
    </row>
    <row r="14" spans="1:11" ht="12.95" customHeight="1" x14ac:dyDescent="0.2">
      <c r="A14" s="24"/>
      <c r="B14" s="11" t="s">
        <v>9</v>
      </c>
      <c r="C14" s="35">
        <v>3.9910000000000001</v>
      </c>
      <c r="D14" s="11"/>
      <c r="E14" s="11"/>
      <c r="F14" s="27"/>
      <c r="G14" s="25"/>
      <c r="H14" s="6"/>
      <c r="I14" s="5"/>
      <c r="J14" s="5"/>
      <c r="K14" s="7"/>
    </row>
    <row r="15" spans="1:11" ht="12.95" customHeight="1" x14ac:dyDescent="0.2">
      <c r="A15" s="22"/>
      <c r="B15" s="13" t="s">
        <v>7</v>
      </c>
      <c r="C15" s="33">
        <v>7.5039999999999996</v>
      </c>
      <c r="D15" s="13"/>
      <c r="E15" s="13"/>
      <c r="F15" s="28"/>
      <c r="G15" s="23"/>
      <c r="H15" s="6"/>
      <c r="I15" s="39"/>
      <c r="J15" s="40"/>
      <c r="K15" s="7"/>
    </row>
    <row r="16" spans="1:11" ht="12.95" customHeight="1" x14ac:dyDescent="0.2">
      <c r="A16" s="16"/>
      <c r="B16" s="16"/>
      <c r="C16" s="17"/>
      <c r="D16" s="16"/>
      <c r="E16" s="16"/>
      <c r="F16" s="41"/>
      <c r="G16" s="18"/>
      <c r="I16" s="39"/>
      <c r="J16" s="39"/>
      <c r="K16" s="7"/>
    </row>
    <row r="17" spans="1:11" ht="12.95" customHeight="1" x14ac:dyDescent="0.2">
      <c r="A17" s="19" t="s">
        <v>12</v>
      </c>
      <c r="B17" s="20" t="s">
        <v>5</v>
      </c>
      <c r="C17" s="34">
        <v>3.6850000000000001</v>
      </c>
      <c r="D17" s="21"/>
      <c r="E17" s="20" t="s">
        <v>13</v>
      </c>
      <c r="F17" s="42">
        <v>90.3</v>
      </c>
      <c r="G17" s="43">
        <f>C17*C18*C19*SQRT(1-COS(RADIANS(F17))^2-COS(RADIANS(F18))^2-COS(RADIANS(F19))^2+2*COS(RADIANS(F17))*COS(RADIANS(F18))*COS(RADIANS(F19)))</f>
        <v>244.47066069518189</v>
      </c>
      <c r="I17" s="39"/>
      <c r="J17" s="39"/>
      <c r="K17" s="7"/>
    </row>
    <row r="18" spans="1:11" ht="12.95" customHeight="1" x14ac:dyDescent="0.2">
      <c r="A18" s="24"/>
      <c r="B18" s="11" t="s">
        <v>9</v>
      </c>
      <c r="C18" s="35">
        <v>9.2080000000000002</v>
      </c>
      <c r="D18" s="29"/>
      <c r="E18" s="11" t="s">
        <v>11</v>
      </c>
      <c r="F18" s="37">
        <v>115.97</v>
      </c>
      <c r="G18" s="25"/>
      <c r="I18" s="39"/>
      <c r="J18" s="39"/>
      <c r="K18" s="7"/>
    </row>
    <row r="19" spans="1:11" ht="12.95" customHeight="1" x14ac:dyDescent="0.2">
      <c r="A19" s="22"/>
      <c r="B19" s="13" t="s">
        <v>7</v>
      </c>
      <c r="C19" s="33">
        <v>8.0150000000000006</v>
      </c>
      <c r="D19" s="15"/>
      <c r="E19" s="13" t="s">
        <v>14</v>
      </c>
      <c r="F19" s="38">
        <v>89.13</v>
      </c>
      <c r="G19" s="23"/>
      <c r="I19" s="39"/>
      <c r="J19" s="39"/>
      <c r="K19" s="7"/>
    </row>
    <row r="20" spans="1:11" ht="12.95" customHeight="1" x14ac:dyDescent="0.2">
      <c r="A20" s="16"/>
      <c r="B20" s="16"/>
      <c r="C20" s="17"/>
      <c r="D20" s="16"/>
      <c r="E20" s="16"/>
      <c r="F20" s="16"/>
      <c r="G20" s="18"/>
      <c r="I20" s="39"/>
      <c r="J20" s="39"/>
      <c r="K20" s="7"/>
    </row>
    <row r="21" spans="1:11" ht="12.95" customHeight="1" x14ac:dyDescent="0.2">
      <c r="A21" s="19" t="s">
        <v>15</v>
      </c>
      <c r="B21" s="20" t="s">
        <v>5</v>
      </c>
      <c r="C21" s="34">
        <v>7.101</v>
      </c>
      <c r="D21" s="21"/>
      <c r="E21" s="21"/>
      <c r="F21" s="21"/>
      <c r="G21" s="32">
        <f>C21*C21*C22*SIN(RADIANS(60))</f>
        <v>103.01431947538562</v>
      </c>
      <c r="I21" s="39"/>
      <c r="J21" s="39"/>
      <c r="K21" s="7"/>
    </row>
    <row r="22" spans="1:11" ht="12.95" customHeight="1" x14ac:dyDescent="0.2">
      <c r="A22" s="14"/>
      <c r="B22" s="13" t="s">
        <v>7</v>
      </c>
      <c r="C22" s="33">
        <v>2.359</v>
      </c>
      <c r="D22" s="13"/>
      <c r="E22" s="13"/>
      <c r="F22" s="13"/>
      <c r="G22" s="30"/>
      <c r="I22" s="39"/>
      <c r="J22" s="39"/>
      <c r="K22" s="7"/>
    </row>
    <row r="23" spans="1:11" ht="12.95" customHeight="1" x14ac:dyDescent="0.2">
      <c r="A23" s="6"/>
      <c r="B23" s="6"/>
      <c r="C23" s="6"/>
      <c r="D23" s="6"/>
      <c r="E23" s="6"/>
      <c r="F23" s="6"/>
      <c r="G23" s="6"/>
      <c r="I23" s="7"/>
      <c r="J23" s="7"/>
      <c r="K23" s="7"/>
    </row>
    <row r="24" spans="1:11" x14ac:dyDescent="0.2">
      <c r="A24" s="6"/>
      <c r="B24" s="6"/>
      <c r="C24" s="6"/>
      <c r="D24" s="6"/>
      <c r="E24" s="6"/>
      <c r="F24" s="6"/>
      <c r="G24" s="6"/>
      <c r="H24" s="6"/>
      <c r="I24" s="5"/>
      <c r="J24" s="5"/>
      <c r="K24" s="7"/>
    </row>
    <row r="25" spans="1:11" x14ac:dyDescent="0.2">
      <c r="A25" s="6"/>
      <c r="B25" s="6"/>
      <c r="C25" s="6"/>
      <c r="D25" s="6"/>
      <c r="E25" s="6"/>
      <c r="F25" s="6"/>
      <c r="H25" s="6"/>
      <c r="I25" s="6"/>
      <c r="J25" s="6"/>
    </row>
    <row r="26" spans="1:11" x14ac:dyDescent="0.2">
      <c r="A26" s="6"/>
      <c r="B26" s="6"/>
      <c r="C26" s="6"/>
      <c r="D26" s="6"/>
      <c r="E26" s="6"/>
      <c r="F26" s="6"/>
      <c r="G26" s="6"/>
      <c r="H26" s="6"/>
      <c r="I26" s="6"/>
      <c r="J26" s="6"/>
    </row>
    <row r="27" spans="1:11" x14ac:dyDescent="0.2">
      <c r="A27" s="6"/>
      <c r="B27" s="6"/>
      <c r="C27" s="6"/>
      <c r="D27" s="6"/>
      <c r="E27" s="6"/>
      <c r="F27" s="6"/>
      <c r="G27" s="6"/>
      <c r="H27" s="6"/>
      <c r="I27" s="6"/>
      <c r="J27" s="6"/>
    </row>
    <row r="28" spans="1:11" x14ac:dyDescent="0.2">
      <c r="A28" s="6"/>
      <c r="B28" s="6"/>
      <c r="C28" s="6"/>
      <c r="D28" s="6"/>
      <c r="E28" s="6"/>
      <c r="F28" s="6"/>
      <c r="G28" s="6"/>
      <c r="H28" s="6"/>
      <c r="I28" s="6"/>
      <c r="J28" s="6"/>
    </row>
    <row r="29" spans="1:11" x14ac:dyDescent="0.2">
      <c r="A29" s="6"/>
      <c r="B29" s="6"/>
      <c r="C29" s="6"/>
      <c r="D29" s="6"/>
      <c r="E29" s="6"/>
      <c r="F29" s="6"/>
      <c r="G29" s="6"/>
      <c r="H29" s="6"/>
      <c r="I29" s="6"/>
      <c r="J29" s="6"/>
    </row>
    <row r="30" spans="1:11" x14ac:dyDescent="0.2">
      <c r="A30" s="6"/>
      <c r="B30" s="6"/>
      <c r="C30" s="6"/>
      <c r="D30" s="6"/>
      <c r="E30" s="6"/>
      <c r="F30" s="6"/>
      <c r="G30" s="6"/>
      <c r="H30" s="6"/>
      <c r="I30" s="6"/>
      <c r="J30" s="6"/>
    </row>
  </sheetData>
  <mergeCells count="3">
    <mergeCell ref="E3:F3"/>
    <mergeCell ref="B3:C3"/>
    <mergeCell ref="A1:F1"/>
  </mergeCells>
  <phoneticPr fontId="0" type="noConversion"/>
  <printOptions headings="1" gridLines="1" gridLinesSet="0"/>
  <pageMargins left="0.75" right="0.75" top="1" bottom="1" header="0.5" footer="0.5"/>
  <headerFooter alignWithMargins="0">
    <oddHeader>&amp;f</oddHeader>
    <oddFooter>Page &amp;p</oddFooter>
  </headerFooter>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8"/>
  <sheetViews>
    <sheetView workbookViewId="0">
      <selection activeCell="G1" sqref="G1"/>
    </sheetView>
  </sheetViews>
  <sheetFormatPr defaultRowHeight="12.75" x14ac:dyDescent="0.2"/>
  <cols>
    <col min="1" max="1" width="22.28515625" style="80" customWidth="1"/>
    <col min="2" max="2" width="11.42578125" style="80" customWidth="1"/>
    <col min="3" max="3" width="8.7109375" style="80" customWidth="1"/>
    <col min="4" max="4" width="8.140625" style="80" customWidth="1"/>
    <col min="5" max="5" width="21" style="80" customWidth="1"/>
    <col min="6" max="16384" width="9.140625" style="80"/>
  </cols>
  <sheetData>
    <row r="1" spans="1:12" ht="15.75" x14ac:dyDescent="0.25">
      <c r="A1" s="152" t="s">
        <v>100</v>
      </c>
      <c r="B1" s="153"/>
      <c r="C1" s="153"/>
      <c r="D1" s="153"/>
      <c r="E1" s="153"/>
      <c r="F1" s="154"/>
      <c r="G1" s="142" t="s">
        <v>1</v>
      </c>
      <c r="H1" s="79"/>
      <c r="I1" s="79"/>
      <c r="J1" s="79"/>
      <c r="K1" s="79"/>
      <c r="L1" s="79"/>
    </row>
    <row r="2" spans="1:12" x14ac:dyDescent="0.2">
      <c r="A2" s="79"/>
      <c r="B2" s="79"/>
      <c r="C2" s="79"/>
      <c r="D2" s="79"/>
      <c r="E2" s="79"/>
      <c r="F2" s="79"/>
      <c r="G2" s="79"/>
      <c r="H2" s="79"/>
      <c r="I2" s="79"/>
      <c r="J2" s="79"/>
      <c r="K2" s="79"/>
      <c r="L2" s="79"/>
    </row>
    <row r="3" spans="1:12" x14ac:dyDescent="0.2">
      <c r="A3" s="79" t="s">
        <v>16</v>
      </c>
      <c r="C3" s="130">
        <v>456</v>
      </c>
      <c r="D3" s="79"/>
      <c r="E3" s="79"/>
      <c r="F3" s="79"/>
      <c r="G3" s="79"/>
      <c r="H3" s="79"/>
      <c r="I3" s="79"/>
      <c r="J3" s="79"/>
      <c r="K3" s="79"/>
      <c r="L3" s="79"/>
    </row>
    <row r="4" spans="1:12" x14ac:dyDescent="0.2">
      <c r="A4" s="79" t="s">
        <v>17</v>
      </c>
      <c r="C4" s="131">
        <v>3</v>
      </c>
      <c r="D4" s="81"/>
      <c r="E4" s="79"/>
      <c r="F4" s="79"/>
      <c r="G4" s="79"/>
      <c r="H4" s="79"/>
      <c r="I4" s="79"/>
      <c r="J4" s="79"/>
      <c r="K4" s="79"/>
      <c r="L4" s="79"/>
    </row>
    <row r="5" spans="1:12" ht="25.5" x14ac:dyDescent="0.2">
      <c r="A5" s="79"/>
      <c r="B5" s="79"/>
      <c r="C5" s="79"/>
      <c r="D5" s="137" t="s">
        <v>87</v>
      </c>
      <c r="E5" s="138" t="s">
        <v>88</v>
      </c>
      <c r="F5" s="79"/>
      <c r="G5" s="79"/>
      <c r="H5" s="79"/>
      <c r="I5" s="79"/>
      <c r="J5" s="79"/>
      <c r="K5" s="79"/>
      <c r="L5" s="79"/>
    </row>
    <row r="6" spans="1:12" x14ac:dyDescent="0.2">
      <c r="A6" s="79" t="s">
        <v>18</v>
      </c>
      <c r="B6" s="79" t="s">
        <v>19</v>
      </c>
      <c r="C6" s="132">
        <v>4</v>
      </c>
      <c r="D6" s="82">
        <v>28.0855</v>
      </c>
      <c r="E6" s="83">
        <f t="shared" ref="E6:E16" si="0">C6*D6</f>
        <v>112.342</v>
      </c>
      <c r="F6" s="79"/>
      <c r="G6" s="79"/>
      <c r="H6" s="79"/>
      <c r="I6" s="79"/>
      <c r="J6" s="79"/>
      <c r="K6" s="79"/>
      <c r="L6" s="79"/>
    </row>
    <row r="7" spans="1:12" x14ac:dyDescent="0.2">
      <c r="A7" s="79"/>
      <c r="B7" s="79" t="s">
        <v>20</v>
      </c>
      <c r="C7" s="133">
        <v>4</v>
      </c>
      <c r="D7" s="82">
        <v>47.9</v>
      </c>
      <c r="E7" s="84">
        <f t="shared" si="0"/>
        <v>191.6</v>
      </c>
      <c r="F7" s="79"/>
      <c r="G7" s="79"/>
      <c r="H7" s="79"/>
      <c r="I7" s="79"/>
      <c r="J7" s="79"/>
      <c r="K7" s="79"/>
      <c r="L7" s="79"/>
    </row>
    <row r="8" spans="1:12" x14ac:dyDescent="0.2">
      <c r="A8" s="79"/>
      <c r="B8" s="79" t="s">
        <v>21</v>
      </c>
      <c r="C8" s="133">
        <v>0</v>
      </c>
      <c r="D8" s="82">
        <v>26.981539999999999</v>
      </c>
      <c r="E8" s="84">
        <f t="shared" si="0"/>
        <v>0</v>
      </c>
      <c r="F8" s="79"/>
      <c r="G8" s="79"/>
      <c r="H8" s="79"/>
      <c r="I8" s="79"/>
      <c r="J8" s="79"/>
      <c r="K8" s="79"/>
      <c r="L8" s="79"/>
    </row>
    <row r="9" spans="1:12" x14ac:dyDescent="0.2">
      <c r="A9" s="79"/>
      <c r="B9" s="79" t="s">
        <v>22</v>
      </c>
      <c r="C9" s="133">
        <v>0</v>
      </c>
      <c r="D9" s="82">
        <v>55.847000000000001</v>
      </c>
      <c r="E9" s="84">
        <f t="shared" si="0"/>
        <v>0</v>
      </c>
      <c r="F9" s="79"/>
      <c r="G9" s="79"/>
      <c r="H9" s="79"/>
      <c r="I9" s="79"/>
      <c r="J9" s="79"/>
      <c r="K9" s="79"/>
      <c r="L9" s="79"/>
    </row>
    <row r="10" spans="1:12" x14ac:dyDescent="0.2">
      <c r="A10" s="79"/>
      <c r="B10" s="79" t="s">
        <v>23</v>
      </c>
      <c r="C10" s="133">
        <v>0</v>
      </c>
      <c r="D10" s="82">
        <v>55.847000000000001</v>
      </c>
      <c r="E10" s="84">
        <f t="shared" si="0"/>
        <v>0</v>
      </c>
      <c r="F10" s="79"/>
      <c r="G10" s="79"/>
      <c r="H10" s="79"/>
      <c r="I10" s="79"/>
      <c r="J10" s="79"/>
      <c r="K10" s="79"/>
      <c r="L10" s="79"/>
    </row>
    <row r="11" spans="1:12" x14ac:dyDescent="0.2">
      <c r="A11" s="79"/>
      <c r="B11" s="79" t="s">
        <v>24</v>
      </c>
      <c r="C11" s="133">
        <v>0</v>
      </c>
      <c r="D11" s="82">
        <v>54.938000000000002</v>
      </c>
      <c r="E11" s="84">
        <f t="shared" si="0"/>
        <v>0</v>
      </c>
      <c r="F11" s="79"/>
      <c r="G11" s="79"/>
      <c r="H11" s="79"/>
      <c r="I11" s="79"/>
      <c r="J11" s="79"/>
      <c r="K11" s="79"/>
      <c r="L11" s="79"/>
    </row>
    <row r="12" spans="1:12" x14ac:dyDescent="0.2">
      <c r="A12" s="79"/>
      <c r="B12" s="79" t="s">
        <v>25</v>
      </c>
      <c r="C12" s="133">
        <v>0</v>
      </c>
      <c r="D12" s="82">
        <v>24.305</v>
      </c>
      <c r="E12" s="84">
        <f t="shared" si="0"/>
        <v>0</v>
      </c>
      <c r="F12" s="79"/>
      <c r="G12" s="79"/>
      <c r="H12" s="79"/>
      <c r="I12" s="79"/>
      <c r="J12" s="79"/>
      <c r="K12" s="79"/>
      <c r="L12" s="79"/>
    </row>
    <row r="13" spans="1:12" x14ac:dyDescent="0.2">
      <c r="A13" s="79"/>
      <c r="B13" s="79" t="s">
        <v>26</v>
      </c>
      <c r="C13" s="133">
        <v>4</v>
      </c>
      <c r="D13" s="82">
        <v>40.08</v>
      </c>
      <c r="E13" s="84">
        <f t="shared" si="0"/>
        <v>160.32</v>
      </c>
      <c r="F13" s="79"/>
      <c r="G13" s="79"/>
      <c r="H13" s="79"/>
      <c r="I13" s="79"/>
      <c r="J13" s="79"/>
      <c r="K13" s="79"/>
      <c r="L13" s="79"/>
    </row>
    <row r="14" spans="1:12" x14ac:dyDescent="0.2">
      <c r="A14" s="79"/>
      <c r="B14" s="79" t="s">
        <v>27</v>
      </c>
      <c r="C14" s="133">
        <v>0</v>
      </c>
      <c r="D14" s="82">
        <v>22.98977</v>
      </c>
      <c r="E14" s="84">
        <f t="shared" si="0"/>
        <v>0</v>
      </c>
      <c r="F14" s="79"/>
      <c r="G14" s="79"/>
      <c r="H14" s="79"/>
      <c r="I14" s="79"/>
      <c r="J14" s="79"/>
      <c r="K14" s="79"/>
      <c r="L14" s="79"/>
    </row>
    <row r="15" spans="1:12" x14ac:dyDescent="0.2">
      <c r="A15" s="79"/>
      <c r="B15" s="79" t="s">
        <v>28</v>
      </c>
      <c r="C15" s="133">
        <v>0</v>
      </c>
      <c r="D15" s="82">
        <v>39.098300000000002</v>
      </c>
      <c r="E15" s="84">
        <f t="shared" si="0"/>
        <v>0</v>
      </c>
      <c r="F15" s="79"/>
      <c r="G15" s="79"/>
      <c r="H15" s="79"/>
      <c r="I15" s="79"/>
      <c r="J15" s="79"/>
      <c r="K15" s="79"/>
      <c r="L15" s="79"/>
    </row>
    <row r="16" spans="1:12" x14ac:dyDescent="0.2">
      <c r="A16" s="79"/>
      <c r="B16" s="79" t="s">
        <v>29</v>
      </c>
      <c r="C16" s="134">
        <v>3</v>
      </c>
      <c r="D16" s="85">
        <v>15.9994</v>
      </c>
      <c r="E16" s="86">
        <f t="shared" si="0"/>
        <v>47.998199999999997</v>
      </c>
      <c r="F16" s="79"/>
      <c r="G16" s="79"/>
      <c r="H16" s="79"/>
      <c r="I16" s="79"/>
      <c r="J16" s="79"/>
      <c r="K16" s="79"/>
      <c r="L16" s="79"/>
    </row>
    <row r="17" spans="1:12" x14ac:dyDescent="0.2">
      <c r="A17" s="79"/>
      <c r="B17" s="79" t="s">
        <v>30</v>
      </c>
      <c r="C17" s="87">
        <f>SUM(C6:C16)</f>
        <v>15</v>
      </c>
      <c r="D17" s="79"/>
      <c r="E17" s="84">
        <f>SUM(E6:E16)</f>
        <v>512.26019999999994</v>
      </c>
      <c r="F17" s="79" t="s">
        <v>31</v>
      </c>
      <c r="G17" s="79"/>
      <c r="H17" s="79"/>
      <c r="I17" s="79"/>
      <c r="J17" s="79"/>
      <c r="K17" s="79"/>
      <c r="L17" s="79"/>
    </row>
    <row r="18" spans="1:12" x14ac:dyDescent="0.2">
      <c r="A18" s="79"/>
      <c r="B18" s="79"/>
      <c r="C18" s="79"/>
      <c r="D18" s="79"/>
      <c r="E18" s="84">
        <f>E17*C4</f>
        <v>1536.7805999999998</v>
      </c>
      <c r="F18" s="79" t="s">
        <v>86</v>
      </c>
      <c r="G18" s="79"/>
      <c r="H18" s="79"/>
      <c r="I18" s="79"/>
      <c r="J18" s="79"/>
      <c r="K18" s="79"/>
      <c r="L18" s="79"/>
    </row>
    <row r="19" spans="1:12" x14ac:dyDescent="0.2">
      <c r="A19" s="88" t="s">
        <v>32</v>
      </c>
      <c r="B19" s="89"/>
      <c r="C19" s="89"/>
      <c r="D19" s="89"/>
      <c r="E19" s="135">
        <f>E18/((C3/1E+24)*6.023E+23)</f>
        <v>5.595438975156636</v>
      </c>
      <c r="F19" s="136" t="s">
        <v>33</v>
      </c>
      <c r="G19" s="79"/>
      <c r="H19" s="79"/>
      <c r="I19" s="79"/>
      <c r="J19" s="79"/>
      <c r="K19" s="79"/>
      <c r="L19" s="79"/>
    </row>
    <row r="20" spans="1:12" x14ac:dyDescent="0.2">
      <c r="A20" s="79"/>
      <c r="B20" s="79"/>
      <c r="C20" s="79"/>
      <c r="D20" s="79"/>
      <c r="E20" s="79"/>
      <c r="F20" s="79"/>
      <c r="G20" s="79"/>
      <c r="H20" s="79"/>
      <c r="I20" s="79"/>
      <c r="J20" s="79"/>
      <c r="K20" s="79"/>
      <c r="L20" s="79"/>
    </row>
    <row r="21" spans="1:12" x14ac:dyDescent="0.2">
      <c r="A21" s="79"/>
      <c r="B21" s="79"/>
      <c r="C21" s="79"/>
      <c r="D21" s="79"/>
      <c r="E21" s="79"/>
      <c r="F21" s="79"/>
      <c r="G21" s="79"/>
      <c r="H21" s="79"/>
      <c r="I21" s="79"/>
      <c r="J21" s="79"/>
      <c r="K21" s="79"/>
      <c r="L21" s="79"/>
    </row>
    <row r="22" spans="1:12" x14ac:dyDescent="0.2">
      <c r="A22" s="79"/>
      <c r="B22" s="79"/>
      <c r="C22" s="79"/>
      <c r="D22" s="79"/>
      <c r="E22" s="79"/>
      <c r="F22" s="79"/>
      <c r="G22" s="79"/>
      <c r="H22" s="79"/>
      <c r="I22" s="79"/>
      <c r="J22" s="79"/>
      <c r="K22" s="79"/>
      <c r="L22" s="79"/>
    </row>
    <row r="23" spans="1:12" x14ac:dyDescent="0.2">
      <c r="A23" s="79"/>
      <c r="B23" s="79"/>
      <c r="C23" s="79"/>
      <c r="D23" s="79"/>
      <c r="E23" s="79"/>
      <c r="F23" s="79"/>
      <c r="G23" s="79"/>
      <c r="H23" s="79"/>
      <c r="I23" s="79"/>
      <c r="J23" s="79"/>
      <c r="K23" s="79"/>
      <c r="L23" s="79"/>
    </row>
    <row r="24" spans="1:12" x14ac:dyDescent="0.2">
      <c r="A24" s="79"/>
      <c r="B24" s="79"/>
      <c r="C24" s="79"/>
      <c r="D24" s="79"/>
      <c r="E24" s="79"/>
      <c r="F24" s="79"/>
      <c r="G24" s="79"/>
      <c r="H24" s="79"/>
      <c r="I24" s="79"/>
      <c r="J24" s="79"/>
      <c r="K24" s="79"/>
      <c r="L24" s="79"/>
    </row>
    <row r="25" spans="1:12" x14ac:dyDescent="0.2">
      <c r="A25" s="79"/>
      <c r="B25" s="79"/>
      <c r="C25" s="79"/>
      <c r="D25" s="79"/>
      <c r="E25" s="79"/>
      <c r="F25" s="79"/>
      <c r="G25" s="79"/>
      <c r="H25" s="79"/>
      <c r="I25" s="79"/>
      <c r="J25" s="79"/>
      <c r="K25" s="79"/>
      <c r="L25" s="79"/>
    </row>
    <row r="26" spans="1:12" x14ac:dyDescent="0.2">
      <c r="A26" s="79"/>
      <c r="B26" s="79"/>
      <c r="C26" s="79"/>
      <c r="D26" s="79"/>
      <c r="E26" s="79"/>
      <c r="F26" s="79"/>
      <c r="G26" s="79"/>
      <c r="H26" s="79"/>
      <c r="I26" s="79"/>
      <c r="J26" s="79"/>
      <c r="K26" s="79"/>
      <c r="L26" s="79"/>
    </row>
    <row r="27" spans="1:12" x14ac:dyDescent="0.2">
      <c r="A27" s="79"/>
      <c r="B27" s="79"/>
      <c r="C27" s="79"/>
      <c r="D27" s="79"/>
      <c r="E27" s="79"/>
      <c r="F27" s="79"/>
      <c r="G27" s="79"/>
      <c r="H27" s="79"/>
      <c r="I27" s="79"/>
      <c r="J27" s="79"/>
      <c r="K27" s="79"/>
      <c r="L27" s="79"/>
    </row>
    <row r="28" spans="1:12" x14ac:dyDescent="0.2">
      <c r="A28" s="79"/>
      <c r="B28" s="79"/>
      <c r="C28" s="79"/>
      <c r="D28" s="79"/>
      <c r="E28" s="79"/>
      <c r="F28" s="79"/>
      <c r="G28" s="79"/>
      <c r="H28" s="79"/>
      <c r="I28" s="79"/>
      <c r="J28" s="79"/>
      <c r="K28" s="79"/>
      <c r="L28" s="79"/>
    </row>
  </sheetData>
  <mergeCells count="1">
    <mergeCell ref="A1:F1"/>
  </mergeCells>
  <phoneticPr fontId="0" type="noConversion"/>
  <pageMargins left="0.75" right="0.75" top="1" bottom="1" header="0.5" footer="0.5"/>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2"/>
  <sheetViews>
    <sheetView workbookViewId="0">
      <selection sqref="A1:IV65536"/>
    </sheetView>
  </sheetViews>
  <sheetFormatPr defaultRowHeight="12.75" x14ac:dyDescent="0.2"/>
  <cols>
    <col min="1" max="1" width="7.42578125" style="65" customWidth="1"/>
    <col min="2" max="2" width="8.5703125" style="65" customWidth="1"/>
    <col min="3" max="3" width="8.28515625" style="65" customWidth="1"/>
    <col min="4" max="4" width="8.42578125" style="65" customWidth="1"/>
    <col min="5" max="5" width="1.5703125" style="65" customWidth="1"/>
    <col min="6" max="6" width="10.28515625" style="65" customWidth="1"/>
    <col min="7" max="7" width="9.28515625" style="65" customWidth="1"/>
    <col min="8" max="8" width="7.5703125" style="65" customWidth="1"/>
    <col min="9" max="9" width="9.140625" style="65"/>
    <col min="10" max="10" width="10.7109375" style="65" customWidth="1"/>
    <col min="11" max="11" width="7" style="65" customWidth="1"/>
    <col min="12" max="16384" width="9.140625" style="65"/>
  </cols>
  <sheetData>
    <row r="1" spans="1:13" ht="15.75" x14ac:dyDescent="0.25">
      <c r="A1" s="128" t="s">
        <v>99</v>
      </c>
      <c r="B1" s="60"/>
      <c r="C1" s="61"/>
      <c r="D1" s="61"/>
      <c r="E1" s="61"/>
      <c r="F1" s="62"/>
      <c r="G1" s="60"/>
      <c r="H1" s="61"/>
      <c r="I1" s="61"/>
      <c r="J1" s="63"/>
      <c r="K1" s="143" t="s">
        <v>1</v>
      </c>
      <c r="L1" s="64"/>
      <c r="M1" s="64"/>
    </row>
    <row r="2" spans="1:13" x14ac:dyDescent="0.2">
      <c r="A2" s="66"/>
      <c r="B2" s="66"/>
      <c r="C2" s="64"/>
      <c r="D2" s="64"/>
      <c r="E2" s="64"/>
      <c r="F2" s="67"/>
      <c r="G2" s="66"/>
      <c r="H2" s="64"/>
      <c r="I2" s="64"/>
      <c r="J2" s="67"/>
      <c r="K2" s="64"/>
      <c r="L2" s="64"/>
      <c r="M2" s="64"/>
    </row>
    <row r="3" spans="1:13" x14ac:dyDescent="0.2">
      <c r="A3" s="68" t="s">
        <v>34</v>
      </c>
      <c r="B3" s="155" t="s">
        <v>77</v>
      </c>
      <c r="C3" s="156"/>
      <c r="D3" s="156"/>
      <c r="E3" s="156"/>
      <c r="F3" s="157"/>
      <c r="G3" s="66"/>
      <c r="H3" s="64"/>
      <c r="I3" s="64"/>
      <c r="J3" s="67"/>
      <c r="K3" s="64"/>
      <c r="L3" s="64"/>
      <c r="M3" s="64"/>
    </row>
    <row r="4" spans="1:13" x14ac:dyDescent="0.2">
      <c r="A4" s="66"/>
      <c r="B4" s="69"/>
      <c r="C4" s="70"/>
      <c r="D4" s="70"/>
      <c r="E4" s="70"/>
      <c r="F4" s="71"/>
      <c r="G4" s="66"/>
      <c r="H4" s="64"/>
      <c r="I4" s="64"/>
      <c r="J4" s="67"/>
      <c r="K4" s="64"/>
      <c r="L4" s="64"/>
      <c r="M4" s="64"/>
    </row>
    <row r="5" spans="1:13" ht="25.5" x14ac:dyDescent="0.2">
      <c r="A5" s="129" t="s">
        <v>48</v>
      </c>
      <c r="B5" s="129" t="s">
        <v>52</v>
      </c>
      <c r="C5" s="129" t="s">
        <v>53</v>
      </c>
      <c r="D5" s="129" t="s">
        <v>54</v>
      </c>
      <c r="E5" s="129"/>
      <c r="F5" s="129" t="s">
        <v>83</v>
      </c>
      <c r="G5" s="129" t="s">
        <v>84</v>
      </c>
      <c r="H5" s="129" t="s">
        <v>53</v>
      </c>
      <c r="I5" s="129" t="s">
        <v>54</v>
      </c>
      <c r="J5" s="129" t="s">
        <v>85</v>
      </c>
      <c r="K5" s="72"/>
      <c r="L5" s="64"/>
      <c r="M5" s="64"/>
    </row>
    <row r="6" spans="1:13" x14ac:dyDescent="0.2">
      <c r="A6" s="68" t="s">
        <v>60</v>
      </c>
      <c r="B6" s="64">
        <f>(2*15.9994)+28.0855</f>
        <v>60.084299999999999</v>
      </c>
      <c r="C6" s="73">
        <v>2</v>
      </c>
      <c r="D6" s="73">
        <v>1</v>
      </c>
      <c r="E6" s="73"/>
      <c r="F6" s="125">
        <v>51.97</v>
      </c>
      <c r="G6" s="64">
        <f t="shared" ref="G6:G16" si="0">F6/B6</f>
        <v>0.86495140993570696</v>
      </c>
      <c r="H6" s="64">
        <f t="shared" ref="H6:H16" si="1">C6*G6</f>
        <v>1.7299028198714139</v>
      </c>
      <c r="I6" s="64">
        <f t="shared" ref="I6:I16" si="2">G6*D6</f>
        <v>0.86495140993570696</v>
      </c>
      <c r="J6" s="123">
        <f t="shared" ref="J6:J16" si="3">ROUND(I6*$H$18,3)</f>
        <v>2.0960000000000001</v>
      </c>
      <c r="K6" s="74" t="s">
        <v>19</v>
      </c>
      <c r="L6" s="64"/>
      <c r="M6" s="64"/>
    </row>
    <row r="7" spans="1:13" x14ac:dyDescent="0.2">
      <c r="A7" s="68" t="s">
        <v>61</v>
      </c>
      <c r="B7" s="64">
        <v>79.898799999999994</v>
      </c>
      <c r="C7" s="73">
        <v>2</v>
      </c>
      <c r="D7" s="73">
        <v>1</v>
      </c>
      <c r="E7" s="73"/>
      <c r="F7" s="125">
        <v>0.77</v>
      </c>
      <c r="G7" s="64">
        <f t="shared" si="0"/>
        <v>9.6371910466740429E-3</v>
      </c>
      <c r="H7" s="64">
        <f t="shared" si="1"/>
        <v>1.9274382093348086E-2</v>
      </c>
      <c r="I7" s="64">
        <f t="shared" si="2"/>
        <v>9.6371910466740429E-3</v>
      </c>
      <c r="J7" s="123">
        <f t="shared" si="3"/>
        <v>2.3E-2</v>
      </c>
      <c r="K7" s="74" t="s">
        <v>20</v>
      </c>
      <c r="L7" s="64"/>
      <c r="M7" s="64"/>
    </row>
    <row r="8" spans="1:13" x14ac:dyDescent="0.2">
      <c r="A8" s="68" t="s">
        <v>62</v>
      </c>
      <c r="B8" s="64">
        <f>3*15.9994+2*26.9815</f>
        <v>101.96119999999999</v>
      </c>
      <c r="C8" s="73">
        <v>3</v>
      </c>
      <c r="D8" s="73">
        <v>2</v>
      </c>
      <c r="E8" s="73"/>
      <c r="F8" s="125">
        <v>1.85</v>
      </c>
      <c r="G8" s="64">
        <f t="shared" si="0"/>
        <v>1.8144156796899215E-2</v>
      </c>
      <c r="H8" s="64">
        <f t="shared" si="1"/>
        <v>5.4432470390697645E-2</v>
      </c>
      <c r="I8" s="64">
        <f t="shared" si="2"/>
        <v>3.628831359379843E-2</v>
      </c>
      <c r="J8" s="123">
        <f t="shared" si="3"/>
        <v>8.7999999999999995E-2</v>
      </c>
      <c r="K8" s="74" t="s">
        <v>21</v>
      </c>
      <c r="L8" s="64"/>
      <c r="M8" s="64"/>
    </row>
    <row r="9" spans="1:13" x14ac:dyDescent="0.2">
      <c r="A9" s="68" t="s">
        <v>63</v>
      </c>
      <c r="B9" s="64">
        <f>3*15.9994+2*55.847</f>
        <v>159.69220000000001</v>
      </c>
      <c r="C9" s="73">
        <v>3</v>
      </c>
      <c r="D9" s="73">
        <v>2</v>
      </c>
      <c r="E9" s="73"/>
      <c r="F9" s="125">
        <v>0</v>
      </c>
      <c r="G9" s="64">
        <f t="shared" si="0"/>
        <v>0</v>
      </c>
      <c r="H9" s="64">
        <f t="shared" si="1"/>
        <v>0</v>
      </c>
      <c r="I9" s="64">
        <f t="shared" si="2"/>
        <v>0</v>
      </c>
      <c r="J9" s="123">
        <f t="shared" si="3"/>
        <v>0</v>
      </c>
      <c r="K9" s="74" t="s">
        <v>22</v>
      </c>
      <c r="L9" s="64"/>
      <c r="M9" s="64"/>
    </row>
    <row r="10" spans="1:13" x14ac:dyDescent="0.2">
      <c r="A10" s="68" t="s">
        <v>64</v>
      </c>
      <c r="B10" s="64">
        <f>15.9994+55.847</f>
        <v>71.846400000000003</v>
      </c>
      <c r="C10" s="73">
        <v>1</v>
      </c>
      <c r="D10" s="73">
        <v>1</v>
      </c>
      <c r="E10" s="73"/>
      <c r="F10" s="125">
        <v>24.51</v>
      </c>
      <c r="G10" s="64">
        <f t="shared" si="0"/>
        <v>0.341144441475147</v>
      </c>
      <c r="H10" s="64">
        <f t="shared" si="1"/>
        <v>0.341144441475147</v>
      </c>
      <c r="I10" s="64">
        <f t="shared" si="2"/>
        <v>0.341144441475147</v>
      </c>
      <c r="J10" s="123">
        <f t="shared" si="3"/>
        <v>0.82699999999999996</v>
      </c>
      <c r="K10" s="74" t="s">
        <v>23</v>
      </c>
      <c r="L10" s="64"/>
      <c r="M10" s="64"/>
    </row>
    <row r="11" spans="1:13" x14ac:dyDescent="0.2">
      <c r="A11" s="68" t="s">
        <v>65</v>
      </c>
      <c r="B11" s="64">
        <f>15.9994+54.938</f>
        <v>70.937399999999997</v>
      </c>
      <c r="C11" s="73">
        <v>1</v>
      </c>
      <c r="D11" s="73">
        <v>1</v>
      </c>
      <c r="E11" s="73"/>
      <c r="F11" s="125">
        <v>0.28000000000000003</v>
      </c>
      <c r="G11" s="64">
        <f t="shared" si="0"/>
        <v>3.9471421281298729E-3</v>
      </c>
      <c r="H11" s="64">
        <f t="shared" si="1"/>
        <v>3.9471421281298729E-3</v>
      </c>
      <c r="I11" s="64">
        <f t="shared" si="2"/>
        <v>3.9471421281298729E-3</v>
      </c>
      <c r="J11" s="123">
        <f t="shared" si="3"/>
        <v>0.01</v>
      </c>
      <c r="K11" s="74" t="s">
        <v>24</v>
      </c>
      <c r="L11" s="64"/>
      <c r="M11" s="64"/>
    </row>
    <row r="12" spans="1:13" x14ac:dyDescent="0.2">
      <c r="A12" s="68" t="s">
        <v>66</v>
      </c>
      <c r="B12" s="64">
        <f>15.9994+24.305</f>
        <v>40.304400000000001</v>
      </c>
      <c r="C12" s="73">
        <v>1</v>
      </c>
      <c r="D12" s="73">
        <v>1</v>
      </c>
      <c r="E12" s="73"/>
      <c r="F12" s="125">
        <v>2.8</v>
      </c>
      <c r="G12" s="64">
        <f t="shared" si="0"/>
        <v>6.9471323230218041E-2</v>
      </c>
      <c r="H12" s="64">
        <f t="shared" si="1"/>
        <v>6.9471323230218041E-2</v>
      </c>
      <c r="I12" s="64">
        <f t="shared" si="2"/>
        <v>6.9471323230218041E-2</v>
      </c>
      <c r="J12" s="123">
        <f t="shared" si="3"/>
        <v>0.16800000000000001</v>
      </c>
      <c r="K12" s="74" t="s">
        <v>25</v>
      </c>
      <c r="L12" s="64"/>
      <c r="M12" s="64"/>
    </row>
    <row r="13" spans="1:13" x14ac:dyDescent="0.2">
      <c r="A13" s="68" t="s">
        <v>67</v>
      </c>
      <c r="B13" s="64">
        <f>15.9994+40.08</f>
        <v>56.0794</v>
      </c>
      <c r="C13" s="73">
        <v>1</v>
      </c>
      <c r="D13" s="73">
        <v>1</v>
      </c>
      <c r="E13" s="73"/>
      <c r="F13" s="125">
        <v>4.46</v>
      </c>
      <c r="G13" s="64">
        <f t="shared" si="0"/>
        <v>7.9530094829830561E-2</v>
      </c>
      <c r="H13" s="64">
        <f t="shared" si="1"/>
        <v>7.9530094829830561E-2</v>
      </c>
      <c r="I13" s="64">
        <f t="shared" si="2"/>
        <v>7.9530094829830561E-2</v>
      </c>
      <c r="J13" s="123">
        <f t="shared" si="3"/>
        <v>0.193</v>
      </c>
      <c r="K13" s="74" t="s">
        <v>26</v>
      </c>
      <c r="L13" s="64"/>
      <c r="M13" s="64"/>
    </row>
    <row r="14" spans="1:13" x14ac:dyDescent="0.2">
      <c r="A14" s="68" t="s">
        <v>68</v>
      </c>
      <c r="B14" s="64">
        <f>15.9994+2*22.9898</f>
        <v>61.978999999999999</v>
      </c>
      <c r="C14" s="73">
        <v>1</v>
      </c>
      <c r="D14" s="73">
        <v>2</v>
      </c>
      <c r="E14" s="73"/>
      <c r="F14" s="125">
        <v>11</v>
      </c>
      <c r="G14" s="64">
        <f t="shared" si="0"/>
        <v>0.17747946885235322</v>
      </c>
      <c r="H14" s="64">
        <f t="shared" si="1"/>
        <v>0.17747946885235322</v>
      </c>
      <c r="I14" s="64">
        <f t="shared" si="2"/>
        <v>0.35495893770470643</v>
      </c>
      <c r="J14" s="123">
        <f t="shared" si="3"/>
        <v>0.86</v>
      </c>
      <c r="K14" s="74" t="s">
        <v>27</v>
      </c>
      <c r="L14" s="64"/>
      <c r="M14" s="64"/>
    </row>
    <row r="15" spans="1:13" x14ac:dyDescent="0.2">
      <c r="A15" s="68" t="s">
        <v>69</v>
      </c>
      <c r="B15" s="64">
        <f>15.9994+2*39.0983</f>
        <v>94.195999999999998</v>
      </c>
      <c r="C15" s="73">
        <v>1</v>
      </c>
      <c r="D15" s="73">
        <v>2</v>
      </c>
      <c r="E15" s="73"/>
      <c r="F15" s="125">
        <v>0.05</v>
      </c>
      <c r="G15" s="64">
        <f t="shared" si="0"/>
        <v>5.3080810225487288E-4</v>
      </c>
      <c r="H15" s="64">
        <f t="shared" si="1"/>
        <v>5.3080810225487288E-4</v>
      </c>
      <c r="I15" s="64">
        <f t="shared" si="2"/>
        <v>1.0616162045097458E-3</v>
      </c>
      <c r="J15" s="123">
        <f t="shared" si="3"/>
        <v>3.0000000000000001E-3</v>
      </c>
      <c r="K15" s="74" t="s">
        <v>28</v>
      </c>
      <c r="L15" s="64"/>
      <c r="M15" s="64"/>
    </row>
    <row r="16" spans="1:13" x14ac:dyDescent="0.2">
      <c r="A16" s="75" t="s">
        <v>70</v>
      </c>
      <c r="B16" s="76">
        <v>141.94450000000001</v>
      </c>
      <c r="C16" s="77">
        <v>5</v>
      </c>
      <c r="D16" s="77">
        <v>2</v>
      </c>
      <c r="E16" s="77"/>
      <c r="F16" s="126">
        <v>0</v>
      </c>
      <c r="G16" s="76">
        <f t="shared" si="0"/>
        <v>0</v>
      </c>
      <c r="H16" s="76">
        <f t="shared" si="1"/>
        <v>0</v>
      </c>
      <c r="I16" s="76">
        <f t="shared" si="2"/>
        <v>0</v>
      </c>
      <c r="J16" s="124">
        <f t="shared" si="3"/>
        <v>0</v>
      </c>
      <c r="K16" s="72" t="s">
        <v>78</v>
      </c>
      <c r="L16" s="64"/>
      <c r="M16" s="64"/>
    </row>
    <row r="17" spans="1:13" x14ac:dyDescent="0.2">
      <c r="A17" s="65" t="s">
        <v>71</v>
      </c>
      <c r="B17" s="64"/>
      <c r="C17" s="64"/>
      <c r="D17" s="64"/>
      <c r="E17" s="64"/>
      <c r="F17" s="127">
        <f>SUM(F6:F16)</f>
        <v>97.69</v>
      </c>
      <c r="G17" s="64"/>
      <c r="H17" s="64">
        <f>SUM(H6:H16)</f>
        <v>2.4757129509733935</v>
      </c>
      <c r="I17" s="64">
        <f>SUM(I6:I16)</f>
        <v>1.7609904701487211</v>
      </c>
      <c r="J17" s="123">
        <f>ROUND(SUM(J6:J16),3)</f>
        <v>4.2679999999999998</v>
      </c>
      <c r="K17" s="74" t="s">
        <v>79</v>
      </c>
      <c r="L17" s="64"/>
      <c r="M17" s="64"/>
    </row>
    <row r="18" spans="1:13" x14ac:dyDescent="0.2">
      <c r="A18" s="64"/>
      <c r="B18" s="64"/>
      <c r="C18" s="64"/>
      <c r="D18" s="64"/>
      <c r="E18" s="64"/>
      <c r="F18" s="66" t="s">
        <v>80</v>
      </c>
      <c r="G18" s="64"/>
      <c r="H18" s="64">
        <f>$H$19/H17</f>
        <v>2.4235442956506481</v>
      </c>
      <c r="I18" s="64"/>
      <c r="J18" s="64"/>
      <c r="K18" s="64"/>
      <c r="L18" s="64"/>
      <c r="M18" s="64"/>
    </row>
    <row r="19" spans="1:13" x14ac:dyDescent="0.2">
      <c r="A19" s="64"/>
      <c r="B19" s="64"/>
      <c r="C19" s="64"/>
      <c r="D19" s="64"/>
      <c r="E19" s="64"/>
      <c r="F19" s="68" t="s">
        <v>72</v>
      </c>
      <c r="H19" s="78">
        <v>6</v>
      </c>
      <c r="I19" s="64"/>
      <c r="J19" s="64"/>
      <c r="K19" s="64"/>
      <c r="L19" s="64"/>
      <c r="M19" s="64"/>
    </row>
    <row r="20" spans="1:13" x14ac:dyDescent="0.2">
      <c r="A20" s="64"/>
      <c r="B20" s="64"/>
      <c r="C20" s="64"/>
      <c r="D20" s="64"/>
      <c r="E20" s="64"/>
      <c r="F20" s="64"/>
      <c r="G20" s="64"/>
      <c r="H20" s="64"/>
      <c r="I20" s="64"/>
      <c r="J20" s="64"/>
      <c r="K20" s="64"/>
      <c r="L20" s="64"/>
      <c r="M20" s="64"/>
    </row>
    <row r="21" spans="1:13" x14ac:dyDescent="0.2">
      <c r="A21" s="79"/>
      <c r="B21" s="64"/>
      <c r="C21" s="64"/>
      <c r="D21" s="64"/>
      <c r="E21" s="64"/>
      <c r="F21" s="64"/>
      <c r="G21" s="64"/>
      <c r="H21" s="64"/>
      <c r="I21" s="64"/>
      <c r="J21" s="64"/>
      <c r="K21" s="64"/>
      <c r="L21" s="64"/>
      <c r="M21" s="64"/>
    </row>
    <row r="22" spans="1:13" x14ac:dyDescent="0.2">
      <c r="A22" s="79"/>
      <c r="B22" s="64"/>
      <c r="C22" s="64"/>
      <c r="D22" s="64"/>
      <c r="E22" s="64"/>
      <c r="F22" s="64"/>
      <c r="G22" s="64"/>
      <c r="H22" s="64"/>
      <c r="I22" s="64"/>
      <c r="J22" s="64"/>
      <c r="K22" s="64"/>
    </row>
  </sheetData>
  <mergeCells count="1">
    <mergeCell ref="B3:F3"/>
  </mergeCells>
  <phoneticPr fontId="0" type="noConversion"/>
  <pageMargins left="0.75" right="0.75" top="1" bottom="1" header="0.5" footer="0.5"/>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2"/>
  <sheetViews>
    <sheetView tabSelected="1" workbookViewId="0">
      <selection activeCell="J7" sqref="J7"/>
    </sheetView>
  </sheetViews>
  <sheetFormatPr defaultRowHeight="12.75" x14ac:dyDescent="0.2"/>
  <cols>
    <col min="1" max="1" width="7.42578125" style="65" customWidth="1"/>
    <col min="2" max="2" width="8.5703125" style="65" customWidth="1"/>
    <col min="3" max="3" width="10" style="65" customWidth="1"/>
    <col min="4" max="4" width="12.140625" style="65" customWidth="1"/>
    <col min="5" max="5" width="9.140625" style="65" customWidth="1"/>
    <col min="6" max="6" width="10.28515625" style="65" customWidth="1"/>
    <col min="7" max="7" width="9.28515625" style="65" customWidth="1"/>
    <col min="8" max="8" width="7.5703125" style="65" customWidth="1"/>
    <col min="9" max="9" width="9.140625" style="65"/>
    <col min="10" max="10" width="10.7109375" style="65" customWidth="1"/>
    <col min="11" max="11" width="7" style="65" customWidth="1"/>
    <col min="12" max="16384" width="9.140625" style="65"/>
  </cols>
  <sheetData>
    <row r="1" spans="1:13" ht="15.75" x14ac:dyDescent="0.25">
      <c r="A1" s="128" t="s">
        <v>102</v>
      </c>
      <c r="B1" s="60"/>
      <c r="C1" s="61"/>
      <c r="D1" s="61"/>
      <c r="E1" s="61"/>
      <c r="F1" s="62"/>
      <c r="G1" s="60"/>
      <c r="H1" s="61"/>
      <c r="I1" s="61"/>
      <c r="J1" s="63"/>
      <c r="K1" s="143" t="s">
        <v>1</v>
      </c>
      <c r="L1" s="64"/>
      <c r="M1" s="64"/>
    </row>
    <row r="2" spans="1:13" x14ac:dyDescent="0.2">
      <c r="A2" s="66"/>
      <c r="B2" s="66"/>
      <c r="C2" s="64"/>
      <c r="D2" s="64"/>
      <c r="E2" s="64"/>
      <c r="F2" s="67"/>
      <c r="G2" s="66"/>
      <c r="H2" s="64"/>
      <c r="I2" s="64"/>
      <c r="J2" s="67"/>
      <c r="K2" s="64"/>
      <c r="L2" s="64"/>
      <c r="M2" s="64"/>
    </row>
    <row r="3" spans="1:13" x14ac:dyDescent="0.2">
      <c r="A3" s="68" t="s">
        <v>34</v>
      </c>
      <c r="B3" s="158" t="s">
        <v>104</v>
      </c>
      <c r="C3" s="159"/>
      <c r="D3" s="159"/>
      <c r="E3" s="159"/>
      <c r="F3" s="160"/>
      <c r="G3" s="66"/>
      <c r="H3" s="64"/>
      <c r="I3" s="64"/>
      <c r="J3" s="67"/>
      <c r="K3" s="64"/>
      <c r="L3" s="64"/>
      <c r="M3" s="64"/>
    </row>
    <row r="4" spans="1:13" ht="38.25" x14ac:dyDescent="0.2">
      <c r="A4" s="129" t="s">
        <v>48</v>
      </c>
      <c r="B4" s="129" t="s">
        <v>109</v>
      </c>
      <c r="C4" s="129" t="s">
        <v>106</v>
      </c>
      <c r="D4" s="129" t="s">
        <v>107</v>
      </c>
      <c r="E4" s="129" t="s">
        <v>108</v>
      </c>
      <c r="F4" s="72"/>
      <c r="G4" s="64"/>
      <c r="H4" s="64"/>
    </row>
    <row r="5" spans="1:13" x14ac:dyDescent="0.2">
      <c r="A5" s="74" t="s">
        <v>19</v>
      </c>
      <c r="B5" s="64">
        <f>(2*15.9994)+28.0855</f>
        <v>60.084299999999999</v>
      </c>
      <c r="C5" s="133">
        <v>3</v>
      </c>
      <c r="D5" s="145">
        <f t="shared" ref="D5:D16" si="0">C5*B5</f>
        <v>180.25290000000001</v>
      </c>
      <c r="E5" s="123">
        <f t="shared" ref="E5:E16" si="1">D5*100/D$17</f>
        <v>45.254654451060709</v>
      </c>
      <c r="F5" s="68" t="s">
        <v>60</v>
      </c>
      <c r="H5" s="64"/>
    </row>
    <row r="6" spans="1:13" x14ac:dyDescent="0.2">
      <c r="A6" s="74" t="s">
        <v>20</v>
      </c>
      <c r="B6" s="64">
        <v>79.898799999999994</v>
      </c>
      <c r="C6" s="133">
        <v>0</v>
      </c>
      <c r="D6" s="145">
        <f t="shared" si="0"/>
        <v>0</v>
      </c>
      <c r="E6" s="123">
        <f t="shared" si="1"/>
        <v>0</v>
      </c>
      <c r="F6" s="68" t="s">
        <v>61</v>
      </c>
      <c r="H6" s="64"/>
    </row>
    <row r="7" spans="1:13" x14ac:dyDescent="0.2">
      <c r="A7" s="74" t="s">
        <v>21</v>
      </c>
      <c r="B7" s="64">
        <f>(3*15.9994+2*26.9815)/2</f>
        <v>50.980599999999995</v>
      </c>
      <c r="C7" s="133">
        <v>3</v>
      </c>
      <c r="D7" s="145">
        <f t="shared" si="0"/>
        <v>152.9418</v>
      </c>
      <c r="E7" s="123">
        <f t="shared" si="1"/>
        <v>38.397874930851245</v>
      </c>
      <c r="F7" s="68" t="s">
        <v>62</v>
      </c>
      <c r="H7" s="64"/>
    </row>
    <row r="8" spans="1:13" x14ac:dyDescent="0.2">
      <c r="A8" s="74" t="s">
        <v>22</v>
      </c>
      <c r="B8" s="64">
        <f>(3*15.9994+2*55.847)/2</f>
        <v>79.846100000000007</v>
      </c>
      <c r="C8" s="133">
        <v>0</v>
      </c>
      <c r="D8" s="145">
        <f t="shared" si="0"/>
        <v>0</v>
      </c>
      <c r="E8" s="123">
        <f t="shared" si="1"/>
        <v>0</v>
      </c>
      <c r="F8" s="68" t="s">
        <v>63</v>
      </c>
      <c r="H8" s="64"/>
    </row>
    <row r="9" spans="1:13" x14ac:dyDescent="0.2">
      <c r="A9" s="74" t="s">
        <v>23</v>
      </c>
      <c r="B9" s="64">
        <f>15.9994+55.847</f>
        <v>71.846400000000003</v>
      </c>
      <c r="C9" s="133">
        <v>0</v>
      </c>
      <c r="D9" s="145">
        <f t="shared" si="0"/>
        <v>0</v>
      </c>
      <c r="E9" s="123">
        <f t="shared" si="1"/>
        <v>0</v>
      </c>
      <c r="F9" s="68" t="s">
        <v>64</v>
      </c>
      <c r="H9" s="64"/>
    </row>
    <row r="10" spans="1:13" x14ac:dyDescent="0.2">
      <c r="A10" s="74" t="s">
        <v>24</v>
      </c>
      <c r="B10" s="64">
        <f>15.9994+54.938</f>
        <v>70.937399999999997</v>
      </c>
      <c r="C10" s="133">
        <v>0</v>
      </c>
      <c r="D10" s="145">
        <f t="shared" si="0"/>
        <v>0</v>
      </c>
      <c r="E10" s="123">
        <f t="shared" si="1"/>
        <v>0</v>
      </c>
      <c r="F10" s="68" t="s">
        <v>65</v>
      </c>
      <c r="H10" s="64"/>
    </row>
    <row r="11" spans="1:13" x14ac:dyDescent="0.2">
      <c r="A11" s="74" t="s">
        <v>25</v>
      </c>
      <c r="B11" s="64">
        <f>15.9994+24.305</f>
        <v>40.304400000000001</v>
      </c>
      <c r="C11" s="133">
        <v>0</v>
      </c>
      <c r="D11" s="145">
        <f t="shared" si="0"/>
        <v>0</v>
      </c>
      <c r="E11" s="123">
        <f t="shared" si="1"/>
        <v>0</v>
      </c>
      <c r="F11" s="68" t="s">
        <v>66</v>
      </c>
      <c r="H11" s="64"/>
    </row>
    <row r="12" spans="1:13" x14ac:dyDescent="0.2">
      <c r="A12" s="74" t="s">
        <v>26</v>
      </c>
      <c r="B12" s="64">
        <f>15.9994+40.08</f>
        <v>56.0794</v>
      </c>
      <c r="C12" s="133">
        <v>0</v>
      </c>
      <c r="D12" s="145">
        <f t="shared" si="0"/>
        <v>0</v>
      </c>
      <c r="E12" s="123">
        <f t="shared" si="1"/>
        <v>0</v>
      </c>
      <c r="F12" s="68" t="s">
        <v>67</v>
      </c>
      <c r="H12" s="64"/>
    </row>
    <row r="13" spans="1:13" x14ac:dyDescent="0.2">
      <c r="A13" s="74" t="s">
        <v>27</v>
      </c>
      <c r="B13" s="64">
        <f>(15.9994+2*22.9898)/2</f>
        <v>30.9895</v>
      </c>
      <c r="C13" s="133">
        <v>0</v>
      </c>
      <c r="D13" s="145">
        <f t="shared" si="0"/>
        <v>0</v>
      </c>
      <c r="E13" s="123">
        <f t="shared" si="1"/>
        <v>0</v>
      </c>
      <c r="F13" s="68" t="s">
        <v>68</v>
      </c>
      <c r="H13" s="64"/>
    </row>
    <row r="14" spans="1:13" x14ac:dyDescent="0.2">
      <c r="A14" s="74" t="s">
        <v>28</v>
      </c>
      <c r="B14" s="64">
        <f>(15.9994+2*39.0983)/2</f>
        <v>47.097999999999999</v>
      </c>
      <c r="C14" s="133">
        <v>1</v>
      </c>
      <c r="D14" s="145">
        <f t="shared" si="0"/>
        <v>47.097999999999999</v>
      </c>
      <c r="E14" s="123">
        <f t="shared" si="1"/>
        <v>11.824518303650356</v>
      </c>
      <c r="F14" s="68" t="s">
        <v>69</v>
      </c>
      <c r="H14" s="64"/>
    </row>
    <row r="15" spans="1:13" x14ac:dyDescent="0.2">
      <c r="A15" s="145" t="s">
        <v>78</v>
      </c>
      <c r="B15" s="146">
        <f>141.9445/2</f>
        <v>70.972250000000003</v>
      </c>
      <c r="C15" s="133">
        <v>0</v>
      </c>
      <c r="D15" s="145">
        <f t="shared" si="0"/>
        <v>0</v>
      </c>
      <c r="E15" s="123">
        <f t="shared" si="1"/>
        <v>0</v>
      </c>
      <c r="F15" s="66" t="s">
        <v>70</v>
      </c>
      <c r="H15" s="64"/>
    </row>
    <row r="16" spans="1:13" x14ac:dyDescent="0.2">
      <c r="A16" s="72" t="s">
        <v>103</v>
      </c>
      <c r="B16" s="147">
        <f>18.01528/2</f>
        <v>9.0076400000000003</v>
      </c>
      <c r="C16" s="134">
        <v>2</v>
      </c>
      <c r="D16" s="72">
        <f t="shared" si="0"/>
        <v>18.015280000000001</v>
      </c>
      <c r="E16" s="124">
        <f t="shared" si="1"/>
        <v>4.5229523144376866</v>
      </c>
      <c r="F16" s="75" t="s">
        <v>105</v>
      </c>
      <c r="H16" s="64"/>
    </row>
    <row r="17" spans="1:13" x14ac:dyDescent="0.2">
      <c r="A17" s="65" t="s">
        <v>71</v>
      </c>
      <c r="B17" s="64"/>
      <c r="C17" s="145">
        <f>SUM(C5:C16)</f>
        <v>9</v>
      </c>
      <c r="D17" s="145">
        <f>SUM(D5:D16)</f>
        <v>398.30798000000004</v>
      </c>
      <c r="E17" s="123">
        <f>ROUND(SUM(E5:E16),3)</f>
        <v>100</v>
      </c>
      <c r="F17" s="74" t="s">
        <v>79</v>
      </c>
      <c r="G17" s="64"/>
      <c r="H17" s="64"/>
    </row>
    <row r="18" spans="1:13" x14ac:dyDescent="0.2">
      <c r="A18" s="64"/>
      <c r="B18" s="64"/>
      <c r="C18" s="64"/>
      <c r="D18" s="66"/>
      <c r="E18" s="64"/>
      <c r="F18" s="64"/>
      <c r="G18" s="64"/>
      <c r="H18" s="64"/>
      <c r="I18" s="64"/>
    </row>
    <row r="19" spans="1:13" x14ac:dyDescent="0.2">
      <c r="A19" s="64"/>
      <c r="B19" s="64"/>
      <c r="C19" s="64"/>
      <c r="D19" s="68"/>
      <c r="F19" s="64"/>
      <c r="G19" s="64"/>
      <c r="H19" s="64"/>
      <c r="I19" s="64"/>
    </row>
    <row r="20" spans="1:13" x14ac:dyDescent="0.2">
      <c r="A20" s="64"/>
      <c r="B20" s="64"/>
      <c r="C20" s="64"/>
      <c r="D20" s="64"/>
      <c r="E20" s="64"/>
      <c r="F20" s="64"/>
      <c r="G20" s="64"/>
      <c r="H20" s="64"/>
      <c r="I20" s="64"/>
      <c r="J20" s="64"/>
      <c r="K20" s="64"/>
      <c r="L20" s="64"/>
      <c r="M20" s="64"/>
    </row>
    <row r="21" spans="1:13" x14ac:dyDescent="0.2">
      <c r="A21" s="79"/>
      <c r="B21" s="64"/>
      <c r="C21" s="64"/>
      <c r="D21" s="64"/>
      <c r="E21" s="64"/>
      <c r="F21" s="64"/>
      <c r="G21" s="64"/>
      <c r="H21" s="64"/>
      <c r="I21" s="64"/>
      <c r="J21" s="64"/>
      <c r="K21" s="64"/>
      <c r="L21" s="64"/>
      <c r="M21" s="64"/>
    </row>
    <row r="22" spans="1:13" x14ac:dyDescent="0.2">
      <c r="A22" s="79"/>
      <c r="B22" s="64"/>
      <c r="C22" s="64"/>
      <c r="D22" s="64"/>
      <c r="E22" s="64"/>
      <c r="F22" s="64"/>
      <c r="G22" s="64"/>
      <c r="H22" s="64"/>
      <c r="I22" s="64"/>
      <c r="J22" s="64"/>
      <c r="K22" s="64"/>
    </row>
  </sheetData>
  <mergeCells count="1">
    <mergeCell ref="B3:F3"/>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34"/>
  <sheetViews>
    <sheetView workbookViewId="0">
      <selection activeCell="G1" sqref="G1"/>
    </sheetView>
  </sheetViews>
  <sheetFormatPr defaultColWidth="9.28515625" defaultRowHeight="12.75" x14ac:dyDescent="0.2"/>
  <cols>
    <col min="1" max="1" width="21" style="45" customWidth="1"/>
    <col min="2" max="16384" width="9.28515625" style="45"/>
  </cols>
  <sheetData>
    <row r="1" spans="1:22" ht="15.75" x14ac:dyDescent="0.25">
      <c r="A1" s="163" t="s">
        <v>98</v>
      </c>
      <c r="B1" s="164"/>
      <c r="C1" s="164"/>
      <c r="D1" s="164"/>
      <c r="E1" s="164"/>
      <c r="F1" s="165"/>
      <c r="G1" s="144" t="s">
        <v>1</v>
      </c>
      <c r="H1" s="92"/>
      <c r="I1" s="92"/>
      <c r="J1" s="92"/>
      <c r="K1" s="92"/>
      <c r="L1" s="92"/>
      <c r="M1" s="92"/>
      <c r="N1" s="92"/>
      <c r="O1" s="92"/>
      <c r="P1" s="92"/>
      <c r="Q1" s="92"/>
      <c r="R1" s="92"/>
      <c r="S1" s="92"/>
      <c r="T1" s="91"/>
      <c r="U1" s="91"/>
      <c r="V1" s="93"/>
    </row>
    <row r="2" spans="1:22" x14ac:dyDescent="0.2">
      <c r="A2" s="46"/>
      <c r="B2" s="47"/>
      <c r="C2" s="47"/>
      <c r="D2" s="47"/>
      <c r="E2" s="47"/>
      <c r="F2" s="47"/>
      <c r="G2" s="47"/>
      <c r="H2" s="92"/>
      <c r="I2" s="92"/>
      <c r="J2" s="92"/>
      <c r="K2" s="92"/>
      <c r="L2" s="92"/>
      <c r="M2" s="92"/>
      <c r="N2" s="92"/>
      <c r="O2" s="92"/>
      <c r="P2" s="92"/>
      <c r="Q2" s="92"/>
      <c r="R2" s="92"/>
      <c r="S2" s="92"/>
      <c r="T2" s="91"/>
      <c r="U2" s="91"/>
      <c r="V2" s="93"/>
    </row>
    <row r="3" spans="1:22" x14ac:dyDescent="0.2">
      <c r="A3" s="9" t="s">
        <v>34</v>
      </c>
      <c r="B3" s="161"/>
      <c r="C3" s="162"/>
      <c r="D3" s="44"/>
      <c r="E3" s="44"/>
      <c r="F3" s="44"/>
      <c r="G3" s="44"/>
      <c r="H3" s="94" t="s">
        <v>35</v>
      </c>
      <c r="I3" s="95"/>
      <c r="J3" s="95"/>
      <c r="K3" s="95"/>
      <c r="L3" s="95"/>
      <c r="M3" s="95"/>
      <c r="N3" s="95"/>
      <c r="O3" s="95"/>
      <c r="P3" s="95"/>
      <c r="Q3" s="95"/>
      <c r="R3" s="95"/>
      <c r="S3" s="96"/>
      <c r="T3" s="91"/>
      <c r="U3" s="91"/>
      <c r="V3" s="93"/>
    </row>
    <row r="4" spans="1:22" x14ac:dyDescent="0.2">
      <c r="A4" s="48"/>
      <c r="B4" s="44"/>
      <c r="C4" s="44"/>
      <c r="D4" s="44"/>
      <c r="E4" s="44"/>
      <c r="F4" s="44"/>
      <c r="G4" s="44"/>
      <c r="H4" s="97"/>
      <c r="I4" s="98"/>
      <c r="J4" s="98"/>
      <c r="K4" s="98"/>
      <c r="L4" s="98"/>
      <c r="M4" s="98"/>
      <c r="N4" s="98"/>
      <c r="O4" s="98"/>
      <c r="P4" s="98"/>
      <c r="Q4" s="98"/>
      <c r="R4" s="98"/>
      <c r="S4" s="99"/>
      <c r="T4" s="91"/>
      <c r="U4" s="91"/>
      <c r="V4" s="93"/>
    </row>
    <row r="5" spans="1:22" x14ac:dyDescent="0.2">
      <c r="A5" s="9"/>
      <c r="B5" s="115" t="s">
        <v>36</v>
      </c>
      <c r="C5" s="115" t="s">
        <v>37</v>
      </c>
      <c r="D5" s="115" t="s">
        <v>38</v>
      </c>
      <c r="E5" s="115" t="s">
        <v>38</v>
      </c>
      <c r="F5" s="2"/>
      <c r="G5" s="2"/>
      <c r="H5" s="97"/>
      <c r="I5" s="98"/>
      <c r="J5" s="98"/>
      <c r="K5" s="98" t="s">
        <v>42</v>
      </c>
      <c r="L5" s="98"/>
      <c r="M5" s="98"/>
      <c r="N5" s="98" t="s">
        <v>43</v>
      </c>
      <c r="O5" s="98" t="s">
        <v>44</v>
      </c>
      <c r="P5" s="98" t="s">
        <v>45</v>
      </c>
      <c r="Q5" s="98" t="s">
        <v>46</v>
      </c>
      <c r="R5" s="98" t="s">
        <v>38</v>
      </c>
      <c r="S5" s="101" t="s">
        <v>47</v>
      </c>
      <c r="T5" s="91"/>
      <c r="U5" s="91"/>
      <c r="V5" s="93"/>
    </row>
    <row r="6" spans="1:22" x14ac:dyDescent="0.2">
      <c r="A6" s="9"/>
      <c r="B6" s="115" t="s">
        <v>39</v>
      </c>
      <c r="C6" s="115" t="s">
        <v>40</v>
      </c>
      <c r="D6" s="115" t="s">
        <v>41</v>
      </c>
      <c r="E6" s="115" t="s">
        <v>41</v>
      </c>
      <c r="F6" s="2"/>
      <c r="G6" s="2"/>
      <c r="H6" s="97" t="s">
        <v>52</v>
      </c>
      <c r="I6" s="98" t="s">
        <v>53</v>
      </c>
      <c r="J6" s="98" t="s">
        <v>54</v>
      </c>
      <c r="K6" s="98" t="s">
        <v>55</v>
      </c>
      <c r="L6" s="98" t="s">
        <v>53</v>
      </c>
      <c r="M6" s="98" t="s">
        <v>54</v>
      </c>
      <c r="N6" s="98" t="s">
        <v>54</v>
      </c>
      <c r="O6" s="98" t="s">
        <v>56</v>
      </c>
      <c r="P6" s="98" t="s">
        <v>57</v>
      </c>
      <c r="Q6" s="98" t="s">
        <v>58</v>
      </c>
      <c r="R6" s="98" t="s">
        <v>41</v>
      </c>
      <c r="S6" s="101" t="s">
        <v>59</v>
      </c>
      <c r="T6" s="91"/>
      <c r="U6" s="91"/>
      <c r="V6" s="93"/>
    </row>
    <row r="7" spans="1:22" x14ac:dyDescent="0.2">
      <c r="A7" s="1" t="s">
        <v>48</v>
      </c>
      <c r="B7" s="116" t="s">
        <v>49</v>
      </c>
      <c r="C7" s="116" t="s">
        <v>50</v>
      </c>
      <c r="D7" s="116" t="s">
        <v>51</v>
      </c>
      <c r="E7" s="116" t="s">
        <v>40</v>
      </c>
      <c r="F7" s="2"/>
      <c r="G7" s="2"/>
      <c r="H7" s="102">
        <f>(2*15.9994)+28.0855</f>
        <v>60.084299999999999</v>
      </c>
      <c r="I7" s="103">
        <v>2</v>
      </c>
      <c r="J7" s="103">
        <v>1</v>
      </c>
      <c r="K7" s="103">
        <f t="shared" ref="K7:K17" si="0">B8/H7</f>
        <v>0</v>
      </c>
      <c r="L7" s="103">
        <f t="shared" ref="L7:L17" si="1">I7*K7</f>
        <v>0</v>
      </c>
      <c r="M7" s="103">
        <f t="shared" ref="M7:M17" si="2">K7*J7</f>
        <v>0</v>
      </c>
      <c r="N7" s="104">
        <f t="shared" ref="N7:N17" si="3">M7*L$20</f>
        <v>0</v>
      </c>
      <c r="O7" s="104">
        <f t="shared" ref="O7:O17" si="4">N7*O$21</f>
        <v>0</v>
      </c>
      <c r="P7" s="104">
        <v>4</v>
      </c>
      <c r="Q7" s="104">
        <f t="shared" ref="Q7:Q17" si="5">P7*O7</f>
        <v>0</v>
      </c>
      <c r="R7" s="104">
        <f>ROUND(O7,3)</f>
        <v>0</v>
      </c>
      <c r="S7" s="99">
        <f t="shared" ref="S7:S17" si="6">ABS(R7)</f>
        <v>0</v>
      </c>
      <c r="T7" s="91"/>
      <c r="U7" s="91"/>
      <c r="V7" s="93"/>
    </row>
    <row r="8" spans="1:22" x14ac:dyDescent="0.2">
      <c r="A8" s="9" t="s">
        <v>60</v>
      </c>
      <c r="B8" s="49">
        <v>0</v>
      </c>
      <c r="C8" s="50">
        <f t="shared" ref="C8:C18" si="7">ROUND(N7,3)</f>
        <v>0</v>
      </c>
      <c r="D8" s="51">
        <f>B8</f>
        <v>0</v>
      </c>
      <c r="E8" s="50">
        <f>ROUND(R7,3)</f>
        <v>0</v>
      </c>
      <c r="F8" s="52"/>
      <c r="G8" s="52"/>
      <c r="H8" s="102">
        <v>79.898799999999994</v>
      </c>
      <c r="I8" s="103">
        <v>2</v>
      </c>
      <c r="J8" s="103">
        <v>1</v>
      </c>
      <c r="K8" s="103">
        <f t="shared" si="0"/>
        <v>0.13141624154555515</v>
      </c>
      <c r="L8" s="103">
        <f t="shared" si="1"/>
        <v>0.26283248309111029</v>
      </c>
      <c r="M8" s="103">
        <f t="shared" si="2"/>
        <v>0.13141624154555515</v>
      </c>
      <c r="N8" s="104">
        <f t="shared" si="3"/>
        <v>0.36626249157354246</v>
      </c>
      <c r="O8" s="104">
        <f t="shared" si="4"/>
        <v>0.30354947390457782</v>
      </c>
      <c r="P8" s="104">
        <v>4</v>
      </c>
      <c r="Q8" s="104">
        <f t="shared" si="5"/>
        <v>1.2141978956183113</v>
      </c>
      <c r="R8" s="104">
        <f>ROUND(O8,3)</f>
        <v>0.30399999999999999</v>
      </c>
      <c r="S8" s="99">
        <f t="shared" si="6"/>
        <v>0.30399999999999999</v>
      </c>
      <c r="T8" s="91"/>
      <c r="U8" s="91"/>
      <c r="V8" s="93"/>
    </row>
    <row r="9" spans="1:22" x14ac:dyDescent="0.2">
      <c r="A9" s="9" t="s">
        <v>61</v>
      </c>
      <c r="B9" s="53">
        <v>10.5</v>
      </c>
      <c r="C9" s="50">
        <f t="shared" si="7"/>
        <v>0.36599999999999999</v>
      </c>
      <c r="D9" s="51">
        <f>B9</f>
        <v>10.5</v>
      </c>
      <c r="E9" s="50">
        <f t="shared" ref="E9:E18" si="8">ROUND(R8,3)</f>
        <v>0.30399999999999999</v>
      </c>
      <c r="F9" s="52"/>
      <c r="G9" s="52"/>
      <c r="H9" s="102">
        <f>3*15.9994+2*26.9815</f>
        <v>101.96119999999999</v>
      </c>
      <c r="I9" s="103">
        <v>3</v>
      </c>
      <c r="J9" s="103">
        <v>2</v>
      </c>
      <c r="K9" s="103">
        <f t="shared" si="0"/>
        <v>5.0019026845505941E-3</v>
      </c>
      <c r="L9" s="103">
        <f t="shared" si="1"/>
        <v>1.5005708053651782E-2</v>
      </c>
      <c r="M9" s="103">
        <f t="shared" si="2"/>
        <v>1.0003805369101188E-2</v>
      </c>
      <c r="N9" s="104">
        <f t="shared" si="3"/>
        <v>2.7881018636753959E-2</v>
      </c>
      <c r="O9" s="104">
        <f t="shared" si="4"/>
        <v>2.3107112341070938E-2</v>
      </c>
      <c r="P9" s="104">
        <v>3</v>
      </c>
      <c r="Q9" s="104">
        <f t="shared" si="5"/>
        <v>6.9321337023212817E-2</v>
      </c>
      <c r="R9" s="104">
        <f>ROUND(O9,3)</f>
        <v>2.3E-2</v>
      </c>
      <c r="S9" s="99">
        <f t="shared" si="6"/>
        <v>2.3E-2</v>
      </c>
      <c r="T9" s="91"/>
      <c r="U9" s="91"/>
      <c r="V9" s="93"/>
    </row>
    <row r="10" spans="1:22" x14ac:dyDescent="0.2">
      <c r="A10" s="9" t="s">
        <v>62</v>
      </c>
      <c r="B10" s="53">
        <v>0.51</v>
      </c>
      <c r="C10" s="50">
        <f t="shared" si="7"/>
        <v>2.8000000000000001E-2</v>
      </c>
      <c r="D10" s="51">
        <f>B10</f>
        <v>0.51</v>
      </c>
      <c r="E10" s="50">
        <f t="shared" si="8"/>
        <v>2.3E-2</v>
      </c>
      <c r="F10" s="52"/>
      <c r="G10" s="52"/>
      <c r="H10" s="102">
        <f>3*15.9994+2*55.847</f>
        <v>159.69220000000001</v>
      </c>
      <c r="I10" s="103">
        <v>3</v>
      </c>
      <c r="J10" s="103">
        <v>2</v>
      </c>
      <c r="K10" s="103">
        <f t="shared" si="0"/>
        <v>0</v>
      </c>
      <c r="L10" s="103">
        <f t="shared" si="1"/>
        <v>0</v>
      </c>
      <c r="M10" s="103">
        <f t="shared" si="2"/>
        <v>0</v>
      </c>
      <c r="N10" s="104">
        <f t="shared" si="3"/>
        <v>0</v>
      </c>
      <c r="O10" s="104">
        <f t="shared" si="4"/>
        <v>0</v>
      </c>
      <c r="P10" s="104">
        <v>3</v>
      </c>
      <c r="Q10" s="104">
        <f t="shared" si="5"/>
        <v>0</v>
      </c>
      <c r="R10" s="104">
        <f>ROUND(Q22,3)</f>
        <v>1.37</v>
      </c>
      <c r="S10" s="99">
        <f t="shared" si="6"/>
        <v>1.37</v>
      </c>
      <c r="T10" s="91"/>
      <c r="U10" s="91"/>
      <c r="V10" s="93"/>
    </row>
    <row r="11" spans="1:22" x14ac:dyDescent="0.2">
      <c r="A11" s="9" t="s">
        <v>63</v>
      </c>
      <c r="B11" s="53">
        <v>0</v>
      </c>
      <c r="C11" s="50">
        <f t="shared" si="7"/>
        <v>0</v>
      </c>
      <c r="D11" s="51">
        <f>B12*(E11/(E11+E12))*1.11134</f>
        <v>47.359984562211984</v>
      </c>
      <c r="E11" s="50">
        <f t="shared" si="8"/>
        <v>1.37</v>
      </c>
      <c r="F11" s="44"/>
      <c r="G11" s="52"/>
      <c r="H11" s="102">
        <f>15.9994+55.847</f>
        <v>71.846400000000003</v>
      </c>
      <c r="I11" s="103">
        <v>1</v>
      </c>
      <c r="J11" s="103">
        <v>1</v>
      </c>
      <c r="K11" s="103">
        <f t="shared" si="0"/>
        <v>1.127405130946018</v>
      </c>
      <c r="L11" s="103">
        <f t="shared" si="1"/>
        <v>1.127405130946018</v>
      </c>
      <c r="M11" s="103">
        <f t="shared" si="2"/>
        <v>1.127405130946018</v>
      </c>
      <c r="N11" s="104">
        <f t="shared" si="3"/>
        <v>3.1421246523014017</v>
      </c>
      <c r="O11" s="104">
        <f t="shared" si="4"/>
        <v>2.6041167389295219</v>
      </c>
      <c r="P11" s="104">
        <v>2</v>
      </c>
      <c r="Q11" s="104">
        <f t="shared" si="5"/>
        <v>5.2082334778590438</v>
      </c>
      <c r="R11" s="104">
        <f>ROUND(O11-Q22,3)</f>
        <v>1.234</v>
      </c>
      <c r="S11" s="99">
        <f t="shared" si="6"/>
        <v>1.234</v>
      </c>
      <c r="T11" s="91"/>
      <c r="U11" s="91"/>
      <c r="V11" s="93"/>
    </row>
    <row r="12" spans="1:22" x14ac:dyDescent="0.2">
      <c r="A12" s="9" t="s">
        <v>64</v>
      </c>
      <c r="B12" s="53">
        <v>81</v>
      </c>
      <c r="C12" s="50">
        <f t="shared" si="7"/>
        <v>3.1419999999999999</v>
      </c>
      <c r="D12" s="51">
        <f>B12*(E12/(E12+E11))</f>
        <v>38.384792626728107</v>
      </c>
      <c r="E12" s="50">
        <f t="shared" si="8"/>
        <v>1.234</v>
      </c>
      <c r="F12" s="52"/>
      <c r="G12" s="52"/>
      <c r="H12" s="102">
        <f>15.9994+54.938</f>
        <v>70.937399999999997</v>
      </c>
      <c r="I12" s="103">
        <v>1</v>
      </c>
      <c r="J12" s="103">
        <v>1</v>
      </c>
      <c r="K12" s="103">
        <f t="shared" si="0"/>
        <v>1.5083721703924871E-2</v>
      </c>
      <c r="L12" s="103">
        <f t="shared" si="1"/>
        <v>1.5083721703924871E-2</v>
      </c>
      <c r="M12" s="103">
        <f t="shared" si="2"/>
        <v>1.5083721703924871E-2</v>
      </c>
      <c r="N12" s="104">
        <f t="shared" si="3"/>
        <v>4.2038955219750006E-2</v>
      </c>
      <c r="O12" s="104">
        <f t="shared" si="4"/>
        <v>3.4840866957546311E-2</v>
      </c>
      <c r="P12" s="104">
        <v>2</v>
      </c>
      <c r="Q12" s="104">
        <f t="shared" si="5"/>
        <v>6.9681733915092622E-2</v>
      </c>
      <c r="R12" s="104">
        <f t="shared" ref="R12:R17" si="9">ROUND(O12,3)</f>
        <v>3.5000000000000003E-2</v>
      </c>
      <c r="S12" s="99">
        <f t="shared" si="6"/>
        <v>3.5000000000000003E-2</v>
      </c>
      <c r="T12" s="91"/>
      <c r="U12" s="91"/>
      <c r="V12" s="93"/>
    </row>
    <row r="13" spans="1:22" x14ac:dyDescent="0.2">
      <c r="A13" s="9" t="s">
        <v>65</v>
      </c>
      <c r="B13" s="53">
        <v>1.07</v>
      </c>
      <c r="C13" s="50">
        <f t="shared" si="7"/>
        <v>4.2000000000000003E-2</v>
      </c>
      <c r="D13" s="51">
        <f t="shared" ref="D13:D18" si="10">B13</f>
        <v>1.07</v>
      </c>
      <c r="E13" s="50">
        <f t="shared" si="8"/>
        <v>3.5000000000000003E-2</v>
      </c>
      <c r="F13" s="52"/>
      <c r="G13" s="52"/>
      <c r="H13" s="102">
        <f>15.9994+24.305</f>
        <v>40.304400000000001</v>
      </c>
      <c r="I13" s="103">
        <v>1</v>
      </c>
      <c r="J13" s="103">
        <v>1</v>
      </c>
      <c r="K13" s="103">
        <f t="shared" si="0"/>
        <v>1.4886712120761007E-2</v>
      </c>
      <c r="L13" s="103">
        <f t="shared" si="1"/>
        <v>1.4886712120761007E-2</v>
      </c>
      <c r="M13" s="103">
        <f t="shared" si="2"/>
        <v>1.4886712120761007E-2</v>
      </c>
      <c r="N13" s="104">
        <f t="shared" si="3"/>
        <v>4.1489881376632606E-2</v>
      </c>
      <c r="O13" s="104">
        <f t="shared" si="4"/>
        <v>3.4385807867282937E-2</v>
      </c>
      <c r="P13" s="104">
        <v>2</v>
      </c>
      <c r="Q13" s="104">
        <f t="shared" si="5"/>
        <v>6.8771615734565875E-2</v>
      </c>
      <c r="R13" s="104">
        <f t="shared" si="9"/>
        <v>3.4000000000000002E-2</v>
      </c>
      <c r="S13" s="99">
        <f t="shared" si="6"/>
        <v>3.4000000000000002E-2</v>
      </c>
      <c r="T13" s="91"/>
      <c r="U13" s="91"/>
      <c r="V13" s="93"/>
    </row>
    <row r="14" spans="1:22" x14ac:dyDescent="0.2">
      <c r="A14" s="9" t="s">
        <v>66</v>
      </c>
      <c r="B14" s="53">
        <v>0.6</v>
      </c>
      <c r="C14" s="50">
        <f t="shared" si="7"/>
        <v>4.1000000000000002E-2</v>
      </c>
      <c r="D14" s="51">
        <f t="shared" si="10"/>
        <v>0.6</v>
      </c>
      <c r="E14" s="50">
        <f t="shared" si="8"/>
        <v>3.4000000000000002E-2</v>
      </c>
      <c r="F14" s="52"/>
      <c r="G14" s="52"/>
      <c r="H14" s="102">
        <f>15.9994+40.08</f>
        <v>56.0794</v>
      </c>
      <c r="I14" s="103">
        <v>1</v>
      </c>
      <c r="J14" s="103">
        <v>1</v>
      </c>
      <c r="K14" s="103">
        <f t="shared" si="0"/>
        <v>0</v>
      </c>
      <c r="L14" s="103">
        <f t="shared" si="1"/>
        <v>0</v>
      </c>
      <c r="M14" s="103">
        <f t="shared" si="2"/>
        <v>0</v>
      </c>
      <c r="N14" s="104">
        <f t="shared" si="3"/>
        <v>0</v>
      </c>
      <c r="O14" s="104">
        <f t="shared" si="4"/>
        <v>0</v>
      </c>
      <c r="P14" s="104">
        <v>2</v>
      </c>
      <c r="Q14" s="104">
        <f t="shared" si="5"/>
        <v>0</v>
      </c>
      <c r="R14" s="104">
        <f t="shared" si="9"/>
        <v>0</v>
      </c>
      <c r="S14" s="99">
        <f t="shared" si="6"/>
        <v>0</v>
      </c>
      <c r="T14" s="91"/>
      <c r="U14" s="91"/>
      <c r="V14" s="93"/>
    </row>
    <row r="15" spans="1:22" x14ac:dyDescent="0.2">
      <c r="A15" s="9" t="s">
        <v>67</v>
      </c>
      <c r="B15" s="53">
        <v>0</v>
      </c>
      <c r="C15" s="50">
        <f t="shared" si="7"/>
        <v>0</v>
      </c>
      <c r="D15" s="51">
        <f t="shared" si="10"/>
        <v>0</v>
      </c>
      <c r="E15" s="50">
        <f t="shared" si="8"/>
        <v>0</v>
      </c>
      <c r="F15" s="52"/>
      <c r="G15" s="52"/>
      <c r="H15" s="102">
        <f>15.9994+2*22.9898</f>
        <v>61.978999999999999</v>
      </c>
      <c r="I15" s="103">
        <v>1</v>
      </c>
      <c r="J15" s="103">
        <v>2</v>
      </c>
      <c r="K15" s="103">
        <f t="shared" si="0"/>
        <v>0</v>
      </c>
      <c r="L15" s="103">
        <f t="shared" si="1"/>
        <v>0</v>
      </c>
      <c r="M15" s="103">
        <f t="shared" si="2"/>
        <v>0</v>
      </c>
      <c r="N15" s="104">
        <f t="shared" si="3"/>
        <v>0</v>
      </c>
      <c r="O15" s="104">
        <f t="shared" si="4"/>
        <v>0</v>
      </c>
      <c r="P15" s="104">
        <v>1</v>
      </c>
      <c r="Q15" s="104">
        <f t="shared" si="5"/>
        <v>0</v>
      </c>
      <c r="R15" s="104">
        <f t="shared" si="9"/>
        <v>0</v>
      </c>
      <c r="S15" s="99">
        <f t="shared" si="6"/>
        <v>0</v>
      </c>
      <c r="T15" s="91"/>
      <c r="U15" s="91"/>
      <c r="V15" s="93"/>
    </row>
    <row r="16" spans="1:22" x14ac:dyDescent="0.2">
      <c r="A16" s="9" t="s">
        <v>68</v>
      </c>
      <c r="B16" s="53">
        <v>0</v>
      </c>
      <c r="C16" s="50">
        <f t="shared" si="7"/>
        <v>0</v>
      </c>
      <c r="D16" s="51">
        <f t="shared" si="10"/>
        <v>0</v>
      </c>
      <c r="E16" s="50">
        <f t="shared" si="8"/>
        <v>0</v>
      </c>
      <c r="F16" s="52"/>
      <c r="G16" s="52"/>
      <c r="H16" s="102">
        <f>15.9994+2*39.0983</f>
        <v>94.195999999999998</v>
      </c>
      <c r="I16" s="103">
        <v>1</v>
      </c>
      <c r="J16" s="103">
        <v>2</v>
      </c>
      <c r="K16" s="103">
        <f t="shared" si="0"/>
        <v>0</v>
      </c>
      <c r="L16" s="103">
        <f t="shared" si="1"/>
        <v>0</v>
      </c>
      <c r="M16" s="103">
        <f t="shared" si="2"/>
        <v>0</v>
      </c>
      <c r="N16" s="104">
        <f t="shared" si="3"/>
        <v>0</v>
      </c>
      <c r="O16" s="104">
        <f t="shared" si="4"/>
        <v>0</v>
      </c>
      <c r="P16" s="104">
        <v>1</v>
      </c>
      <c r="Q16" s="104">
        <f t="shared" si="5"/>
        <v>0</v>
      </c>
      <c r="R16" s="104">
        <f t="shared" si="9"/>
        <v>0</v>
      </c>
      <c r="S16" s="99">
        <f t="shared" si="6"/>
        <v>0</v>
      </c>
      <c r="T16" s="91"/>
      <c r="U16" s="91"/>
      <c r="V16" s="93"/>
    </row>
    <row r="17" spans="1:22" x14ac:dyDescent="0.2">
      <c r="A17" s="9" t="s">
        <v>69</v>
      </c>
      <c r="B17" s="53">
        <v>0</v>
      </c>
      <c r="C17" s="50">
        <f t="shared" si="7"/>
        <v>0</v>
      </c>
      <c r="D17" s="51">
        <f t="shared" si="10"/>
        <v>0</v>
      </c>
      <c r="E17" s="50">
        <f t="shared" si="8"/>
        <v>0</v>
      </c>
      <c r="F17" s="52"/>
      <c r="G17" s="52"/>
      <c r="H17" s="102">
        <v>141.94450000000001</v>
      </c>
      <c r="I17" s="103">
        <v>5</v>
      </c>
      <c r="J17" s="103">
        <v>2</v>
      </c>
      <c r="K17" s="103">
        <f t="shared" si="0"/>
        <v>0</v>
      </c>
      <c r="L17" s="103">
        <f t="shared" si="1"/>
        <v>0</v>
      </c>
      <c r="M17" s="103">
        <f t="shared" si="2"/>
        <v>0</v>
      </c>
      <c r="N17" s="104">
        <f t="shared" si="3"/>
        <v>0</v>
      </c>
      <c r="O17" s="104">
        <f t="shared" si="4"/>
        <v>0</v>
      </c>
      <c r="P17" s="104">
        <v>5</v>
      </c>
      <c r="Q17" s="104">
        <f t="shared" si="5"/>
        <v>0</v>
      </c>
      <c r="R17" s="104">
        <f t="shared" si="9"/>
        <v>0</v>
      </c>
      <c r="S17" s="99">
        <f t="shared" si="6"/>
        <v>0</v>
      </c>
      <c r="T17" s="91"/>
      <c r="U17" s="91"/>
      <c r="V17" s="93"/>
    </row>
    <row r="18" spans="1:22" x14ac:dyDescent="0.2">
      <c r="A18" s="1" t="s">
        <v>70</v>
      </c>
      <c r="B18" s="54">
        <v>0</v>
      </c>
      <c r="C18" s="55">
        <f t="shared" si="7"/>
        <v>0</v>
      </c>
      <c r="D18" s="56">
        <f t="shared" si="10"/>
        <v>0</v>
      </c>
      <c r="E18" s="55">
        <f t="shared" si="8"/>
        <v>0</v>
      </c>
      <c r="F18" s="52"/>
      <c r="G18" s="52"/>
      <c r="H18" s="102"/>
      <c r="I18" s="103"/>
      <c r="J18" s="103"/>
      <c r="K18" s="103"/>
      <c r="L18" s="103">
        <f>SUM(L7:L17)</f>
        <v>1.4352137559154658</v>
      </c>
      <c r="M18" s="103">
        <f>SUM(M7:M17)</f>
        <v>1.2987956116853601</v>
      </c>
      <c r="N18" s="104">
        <f>SUM(N7:N17)</f>
        <v>3.6197969991080807</v>
      </c>
      <c r="O18" s="104">
        <f>SUM(O7:O17)</f>
        <v>2.9999999999999996</v>
      </c>
      <c r="P18" s="104"/>
      <c r="Q18" s="104">
        <f>SUM(Q7:Q17)</f>
        <v>6.6302060601502255</v>
      </c>
      <c r="R18" s="104">
        <f>SUM(R7:R17)</f>
        <v>3</v>
      </c>
      <c r="S18" s="106">
        <f>SUM(S7:S17)</f>
        <v>3</v>
      </c>
      <c r="T18" s="91"/>
      <c r="U18" s="91"/>
      <c r="V18" s="93"/>
    </row>
    <row r="19" spans="1:22" x14ac:dyDescent="0.2">
      <c r="A19" s="9" t="s">
        <v>71</v>
      </c>
      <c r="B19" s="57">
        <f>SUM(B8:B18)</f>
        <v>93.679999999999993</v>
      </c>
      <c r="C19" s="50">
        <f>SUM(C8:C18)</f>
        <v>3.6189999999999998</v>
      </c>
      <c r="D19" s="51">
        <f>SUM(D8:D18)</f>
        <v>98.424777188940084</v>
      </c>
      <c r="E19" s="50">
        <f>SUM(E8:E18)</f>
        <v>3</v>
      </c>
      <c r="F19" s="8"/>
      <c r="G19" s="52"/>
      <c r="H19" s="107"/>
      <c r="I19" s="92"/>
      <c r="J19" s="92"/>
      <c r="K19" s="92"/>
      <c r="L19" s="92"/>
      <c r="M19" s="92"/>
      <c r="N19" s="92"/>
      <c r="O19" s="92"/>
      <c r="P19" s="92"/>
      <c r="Q19" s="92"/>
      <c r="R19" s="92"/>
      <c r="S19" s="99"/>
      <c r="T19" s="91"/>
      <c r="U19" s="91"/>
      <c r="V19" s="93"/>
    </row>
    <row r="20" spans="1:22" x14ac:dyDescent="0.2">
      <c r="A20" s="9"/>
      <c r="B20" s="44"/>
      <c r="C20" s="44"/>
      <c r="D20" s="44"/>
      <c r="E20" s="44"/>
      <c r="F20" s="44"/>
      <c r="G20" s="44"/>
      <c r="H20" s="107"/>
      <c r="I20" s="92" t="s">
        <v>74</v>
      </c>
      <c r="J20" s="92"/>
      <c r="K20" s="92"/>
      <c r="L20" s="103">
        <f>$B$21/L18</f>
        <v>2.7870412915939191</v>
      </c>
      <c r="M20" s="92"/>
      <c r="N20" s="92"/>
      <c r="O20" s="92"/>
      <c r="P20" s="92"/>
      <c r="Q20" s="92"/>
      <c r="R20" s="92"/>
      <c r="S20" s="99"/>
      <c r="T20" s="91"/>
      <c r="U20" s="91"/>
      <c r="V20" s="93"/>
    </row>
    <row r="21" spans="1:22" x14ac:dyDescent="0.2">
      <c r="A21" s="9" t="s">
        <v>81</v>
      </c>
      <c r="B21" s="58">
        <v>4</v>
      </c>
      <c r="C21" s="44" t="s">
        <v>73</v>
      </c>
      <c r="D21" s="44"/>
      <c r="E21" s="44"/>
      <c r="F21" s="44"/>
      <c r="G21" s="44"/>
      <c r="H21" s="107"/>
      <c r="I21" s="92"/>
      <c r="J21" s="92"/>
      <c r="K21" s="92"/>
      <c r="L21" s="92" t="s">
        <v>75</v>
      </c>
      <c r="M21" s="92"/>
      <c r="N21" s="92"/>
      <c r="O21" s="103">
        <f>B22/N18</f>
        <v>0.8287757575187783</v>
      </c>
      <c r="P21" s="92"/>
      <c r="Q21" s="92"/>
      <c r="R21" s="92"/>
      <c r="S21" s="99"/>
      <c r="T21" s="91"/>
      <c r="U21" s="91"/>
      <c r="V21" s="93"/>
    </row>
    <row r="22" spans="1:22" x14ac:dyDescent="0.2">
      <c r="A22" s="9" t="s">
        <v>82</v>
      </c>
      <c r="B22" s="59">
        <v>3</v>
      </c>
      <c r="C22" s="44" t="s">
        <v>73</v>
      </c>
      <c r="D22" s="44"/>
      <c r="E22" s="44"/>
      <c r="F22" s="44"/>
      <c r="G22" s="44"/>
      <c r="H22" s="108"/>
      <c r="I22" s="109"/>
      <c r="J22" s="109"/>
      <c r="K22" s="109"/>
      <c r="L22" s="109"/>
      <c r="M22" s="109"/>
      <c r="N22" s="109"/>
      <c r="O22" s="109" t="s">
        <v>76</v>
      </c>
      <c r="P22" s="109"/>
      <c r="Q22" s="122">
        <f>(2*B21)-Q18</f>
        <v>1.3697939398497745</v>
      </c>
      <c r="R22" s="109"/>
      <c r="S22" s="110"/>
      <c r="T22" s="91"/>
      <c r="U22" s="91"/>
      <c r="V22" s="93"/>
    </row>
    <row r="23" spans="1:22" x14ac:dyDescent="0.2">
      <c r="A23" s="44"/>
      <c r="B23" s="44"/>
      <c r="C23" s="44"/>
      <c r="D23" s="44"/>
      <c r="E23" s="44"/>
      <c r="F23" s="44"/>
      <c r="G23" s="44"/>
      <c r="H23" s="93"/>
      <c r="I23" s="93"/>
      <c r="J23" s="93"/>
      <c r="K23" s="93"/>
      <c r="L23" s="93"/>
      <c r="M23" s="93"/>
      <c r="N23" s="93"/>
      <c r="O23" s="93"/>
      <c r="P23" s="93"/>
      <c r="Q23" s="93"/>
      <c r="R23" s="93"/>
      <c r="S23" s="93"/>
      <c r="T23" s="91"/>
      <c r="U23" s="91"/>
      <c r="V23" s="93"/>
    </row>
    <row r="24" spans="1:22" x14ac:dyDescent="0.2">
      <c r="A24" s="44"/>
      <c r="B24" s="44"/>
      <c r="C24" s="44"/>
      <c r="D24" s="44"/>
      <c r="E24" s="44"/>
      <c r="F24" s="44"/>
      <c r="G24" s="44"/>
      <c r="H24" s="91"/>
      <c r="I24" s="91"/>
      <c r="J24" s="91"/>
      <c r="K24" s="91"/>
      <c r="L24" s="91"/>
      <c r="M24" s="91"/>
      <c r="N24" s="91"/>
      <c r="O24" s="91"/>
      <c r="P24" s="91"/>
      <c r="Q24" s="91"/>
      <c r="R24" s="91"/>
      <c r="S24" s="91"/>
      <c r="T24" s="91"/>
      <c r="U24" s="91"/>
      <c r="V24" s="93"/>
    </row>
    <row r="25" spans="1:22" x14ac:dyDescent="0.2">
      <c r="A25" s="44"/>
      <c r="B25" s="44"/>
      <c r="C25" s="44"/>
      <c r="D25" s="44"/>
      <c r="E25" s="44"/>
      <c r="F25" s="44"/>
      <c r="G25" s="44"/>
      <c r="H25" s="91"/>
      <c r="I25" s="91"/>
      <c r="J25" s="91"/>
      <c r="K25" s="91"/>
      <c r="L25" s="91"/>
      <c r="M25" s="91"/>
      <c r="N25" s="91"/>
      <c r="O25" s="91"/>
      <c r="P25" s="91"/>
      <c r="Q25" s="91"/>
      <c r="R25" s="91"/>
      <c r="S25" s="91"/>
      <c r="T25" s="91"/>
      <c r="U25" s="91"/>
      <c r="V25" s="93"/>
    </row>
    <row r="26" spans="1:22" x14ac:dyDescent="0.2">
      <c r="A26" s="44"/>
      <c r="B26" s="44"/>
      <c r="C26" s="44"/>
      <c r="D26" s="44"/>
      <c r="E26" s="44"/>
      <c r="F26" s="44"/>
      <c r="G26" s="44"/>
      <c r="H26" s="91"/>
      <c r="I26" s="91"/>
      <c r="J26" s="91"/>
      <c r="K26" s="91"/>
      <c r="L26" s="91"/>
      <c r="M26" s="91"/>
      <c r="N26" s="91"/>
      <c r="O26" s="91"/>
      <c r="P26" s="91"/>
      <c r="Q26" s="91"/>
      <c r="R26" s="91"/>
      <c r="S26" s="91"/>
      <c r="T26" s="91"/>
      <c r="U26" s="91"/>
      <c r="V26" s="93"/>
    </row>
    <row r="27" spans="1:22" x14ac:dyDescent="0.2">
      <c r="H27" s="93"/>
      <c r="I27" s="93"/>
      <c r="J27" s="93"/>
      <c r="K27" s="93"/>
      <c r="L27" s="93"/>
      <c r="M27" s="93"/>
      <c r="N27" s="93"/>
      <c r="O27" s="93"/>
      <c r="P27" s="93"/>
      <c r="Q27" s="93"/>
      <c r="R27" s="93"/>
      <c r="S27" s="93"/>
      <c r="T27" s="93"/>
      <c r="U27" s="93"/>
      <c r="V27" s="93"/>
    </row>
    <row r="28" spans="1:22" x14ac:dyDescent="0.2">
      <c r="H28" s="93"/>
      <c r="I28" s="93"/>
      <c r="J28" s="93"/>
      <c r="K28" s="93"/>
      <c r="L28" s="93"/>
      <c r="M28" s="93"/>
      <c r="N28" s="93"/>
      <c r="O28" s="93"/>
      <c r="P28" s="93"/>
      <c r="Q28" s="93"/>
      <c r="R28" s="93"/>
      <c r="S28" s="93"/>
      <c r="T28" s="93"/>
      <c r="U28" s="93"/>
      <c r="V28" s="93"/>
    </row>
    <row r="29" spans="1:22" x14ac:dyDescent="0.2">
      <c r="H29" s="93"/>
      <c r="I29" s="93"/>
      <c r="J29" s="93"/>
      <c r="K29" s="93"/>
      <c r="L29" s="93"/>
      <c r="M29" s="93"/>
      <c r="N29" s="93"/>
      <c r="O29" s="93"/>
      <c r="P29" s="93"/>
      <c r="Q29" s="93"/>
      <c r="R29" s="93"/>
      <c r="S29" s="93"/>
      <c r="T29" s="93"/>
      <c r="U29" s="93"/>
      <c r="V29" s="93"/>
    </row>
    <row r="30" spans="1:22" x14ac:dyDescent="0.2">
      <c r="H30" s="93"/>
      <c r="I30" s="93"/>
      <c r="J30" s="93"/>
      <c r="K30" s="93"/>
      <c r="L30" s="93"/>
      <c r="M30" s="93"/>
      <c r="N30" s="93"/>
      <c r="O30" s="93"/>
      <c r="P30" s="93"/>
      <c r="Q30" s="93"/>
      <c r="R30" s="93"/>
      <c r="S30" s="93"/>
      <c r="T30" s="93"/>
      <c r="U30" s="93"/>
      <c r="V30" s="93"/>
    </row>
    <row r="31" spans="1:22" x14ac:dyDescent="0.2">
      <c r="H31" s="93"/>
      <c r="I31" s="93"/>
      <c r="J31" s="93"/>
      <c r="K31" s="93"/>
      <c r="L31" s="93"/>
      <c r="M31" s="93"/>
      <c r="N31" s="93"/>
      <c r="O31" s="93"/>
      <c r="P31" s="93"/>
      <c r="Q31" s="93"/>
      <c r="R31" s="93"/>
      <c r="S31" s="93"/>
      <c r="T31" s="93"/>
      <c r="U31" s="93"/>
      <c r="V31" s="93"/>
    </row>
    <row r="32" spans="1:22" x14ac:dyDescent="0.2">
      <c r="H32" s="93"/>
      <c r="I32" s="93"/>
      <c r="J32" s="93"/>
      <c r="K32" s="93"/>
      <c r="L32" s="93"/>
      <c r="M32" s="93"/>
      <c r="N32" s="93"/>
      <c r="O32" s="93"/>
      <c r="P32" s="93"/>
      <c r="Q32" s="93"/>
      <c r="R32" s="93"/>
      <c r="S32" s="93"/>
      <c r="T32" s="93"/>
      <c r="U32" s="93"/>
      <c r="V32" s="93"/>
    </row>
    <row r="33" spans="8:22" x14ac:dyDescent="0.2">
      <c r="H33" s="93"/>
      <c r="I33" s="93"/>
      <c r="J33" s="93"/>
      <c r="K33" s="93"/>
      <c r="L33" s="93"/>
      <c r="M33" s="93"/>
      <c r="N33" s="93"/>
      <c r="O33" s="93"/>
      <c r="P33" s="93"/>
      <c r="Q33" s="93"/>
      <c r="R33" s="93"/>
      <c r="S33" s="93"/>
      <c r="T33" s="93"/>
      <c r="U33" s="93"/>
      <c r="V33" s="93"/>
    </row>
    <row r="34" spans="8:22" x14ac:dyDescent="0.2">
      <c r="H34" s="93"/>
      <c r="I34" s="93"/>
      <c r="J34" s="93"/>
      <c r="K34" s="93"/>
      <c r="L34" s="93"/>
      <c r="M34" s="93"/>
      <c r="N34" s="93"/>
      <c r="O34" s="93"/>
      <c r="P34" s="93"/>
      <c r="Q34" s="93"/>
      <c r="R34" s="93"/>
      <c r="S34" s="93"/>
      <c r="T34" s="93"/>
      <c r="U34" s="93"/>
      <c r="V34" s="93"/>
    </row>
  </sheetData>
  <sheetProtection selectLockedCells="1"/>
  <mergeCells count="2">
    <mergeCell ref="B3:C3"/>
    <mergeCell ref="A1:F1"/>
  </mergeCells>
  <phoneticPr fontId="0" type="noConversion"/>
  <pageMargins left="0.75" right="0.75" top="1" bottom="1" header="0.5" footer="0.5"/>
  <pageSetup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35"/>
  <sheetViews>
    <sheetView workbookViewId="0">
      <selection activeCell="G1" sqref="G1"/>
    </sheetView>
  </sheetViews>
  <sheetFormatPr defaultColWidth="9.28515625" defaultRowHeight="12.75" x14ac:dyDescent="0.2"/>
  <cols>
    <col min="1" max="1" width="21" style="45" customWidth="1"/>
    <col min="2" max="2" width="13.140625" style="45" customWidth="1"/>
    <col min="3" max="16384" width="9.28515625" style="45"/>
  </cols>
  <sheetData>
    <row r="1" spans="1:24" ht="15.75" x14ac:dyDescent="0.25">
      <c r="A1" s="163" t="s">
        <v>97</v>
      </c>
      <c r="B1" s="164"/>
      <c r="C1" s="164"/>
      <c r="D1" s="164"/>
      <c r="E1" s="164"/>
      <c r="F1" s="165"/>
      <c r="G1" s="144" t="s">
        <v>1</v>
      </c>
      <c r="H1" s="91"/>
      <c r="I1" s="91"/>
      <c r="J1" s="92"/>
      <c r="K1" s="92"/>
      <c r="L1" s="92"/>
      <c r="M1" s="92"/>
      <c r="N1" s="92"/>
      <c r="O1" s="92"/>
      <c r="P1" s="92"/>
      <c r="Q1" s="92"/>
      <c r="R1" s="92"/>
      <c r="S1" s="92"/>
      <c r="T1" s="92"/>
      <c r="U1" s="92"/>
      <c r="V1" s="91"/>
      <c r="W1" s="91"/>
      <c r="X1" s="93"/>
    </row>
    <row r="2" spans="1:24" x14ac:dyDescent="0.2">
      <c r="A2" s="46"/>
      <c r="B2" s="47"/>
      <c r="C2" s="47"/>
      <c r="D2" s="47"/>
      <c r="E2" s="47"/>
      <c r="F2" s="47"/>
      <c r="G2" s="47"/>
      <c r="H2" s="91"/>
      <c r="I2" s="91"/>
      <c r="J2" s="92"/>
      <c r="K2" s="92"/>
      <c r="L2" s="92"/>
      <c r="M2" s="92"/>
      <c r="N2" s="92"/>
      <c r="O2" s="92"/>
      <c r="P2" s="92"/>
      <c r="Q2" s="92"/>
      <c r="R2" s="92"/>
      <c r="S2" s="92"/>
      <c r="T2" s="92"/>
      <c r="U2" s="92"/>
      <c r="V2" s="91"/>
      <c r="W2" s="91"/>
      <c r="X2" s="91"/>
    </row>
    <row r="3" spans="1:24" x14ac:dyDescent="0.2">
      <c r="A3" s="9" t="s">
        <v>34</v>
      </c>
      <c r="B3" s="166"/>
      <c r="C3" s="167"/>
      <c r="D3" s="44"/>
      <c r="E3" s="44"/>
      <c r="F3" s="44"/>
      <c r="G3" s="44"/>
      <c r="H3" s="91"/>
      <c r="I3" s="91"/>
      <c r="J3" s="114"/>
      <c r="K3" s="114"/>
      <c r="L3" s="114"/>
      <c r="M3" s="114"/>
      <c r="N3" s="114"/>
      <c r="O3" s="114"/>
      <c r="P3" s="114"/>
      <c r="Q3" s="114"/>
      <c r="R3" s="114"/>
      <c r="S3" s="114"/>
      <c r="T3" s="114"/>
      <c r="U3" s="92"/>
      <c r="V3" s="91"/>
      <c r="W3" s="91"/>
      <c r="X3" s="91"/>
    </row>
    <row r="4" spans="1:24" x14ac:dyDescent="0.2">
      <c r="A4" s="48"/>
      <c r="B4" s="44"/>
      <c r="C4" s="44"/>
      <c r="D4" s="44"/>
      <c r="E4" s="44"/>
      <c r="F4" s="44"/>
      <c r="G4" s="44"/>
      <c r="H4" s="91"/>
      <c r="I4" s="91"/>
      <c r="J4" s="98"/>
      <c r="K4" s="98"/>
      <c r="L4" s="98"/>
      <c r="M4" s="98"/>
      <c r="N4" s="98"/>
      <c r="O4" s="98"/>
      <c r="P4" s="98"/>
      <c r="Q4" s="98"/>
      <c r="R4" s="98"/>
      <c r="S4" s="98"/>
      <c r="T4" s="98"/>
      <c r="U4" s="92"/>
      <c r="V4" s="91"/>
      <c r="W4" s="91"/>
      <c r="X4" s="91"/>
    </row>
    <row r="5" spans="1:24" x14ac:dyDescent="0.2">
      <c r="A5" s="9"/>
      <c r="B5" s="115" t="s">
        <v>94</v>
      </c>
      <c r="C5" s="117" t="s">
        <v>90</v>
      </c>
      <c r="D5" s="2" t="s">
        <v>45</v>
      </c>
      <c r="E5" s="2" t="s">
        <v>38</v>
      </c>
      <c r="F5" s="2"/>
      <c r="G5" s="2"/>
      <c r="H5" s="100"/>
      <c r="I5" s="100"/>
      <c r="J5" s="98"/>
      <c r="K5" s="98"/>
      <c r="L5" s="98"/>
      <c r="M5" s="98"/>
      <c r="N5" s="98"/>
      <c r="O5" s="98"/>
      <c r="P5" s="98"/>
      <c r="Q5" s="98"/>
      <c r="R5" s="98"/>
      <c r="S5" s="98"/>
      <c r="T5" s="98"/>
      <c r="U5" s="98"/>
      <c r="V5" s="91"/>
      <c r="W5" s="91"/>
      <c r="X5" s="91"/>
    </row>
    <row r="6" spans="1:24" x14ac:dyDescent="0.2">
      <c r="A6" s="9"/>
      <c r="B6" s="115" t="s">
        <v>95</v>
      </c>
      <c r="C6" s="117" t="s">
        <v>91</v>
      </c>
      <c r="D6" s="2" t="s">
        <v>57</v>
      </c>
      <c r="E6" s="2" t="s">
        <v>41</v>
      </c>
      <c r="F6" s="2"/>
      <c r="G6" s="2"/>
      <c r="H6" s="100"/>
      <c r="I6" s="100"/>
      <c r="J6" s="98"/>
      <c r="K6" s="98"/>
      <c r="L6" s="98"/>
      <c r="M6" s="98"/>
      <c r="N6" s="98"/>
      <c r="O6" s="98"/>
      <c r="P6" s="98"/>
      <c r="Q6" s="98"/>
      <c r="R6" s="98"/>
      <c r="S6" s="98"/>
      <c r="T6" s="98"/>
      <c r="U6" s="98"/>
      <c r="V6" s="91"/>
      <c r="W6" s="91"/>
      <c r="X6" s="91"/>
    </row>
    <row r="7" spans="1:24" x14ac:dyDescent="0.2">
      <c r="A7" s="1" t="s">
        <v>48</v>
      </c>
      <c r="B7" s="116" t="s">
        <v>96</v>
      </c>
      <c r="C7" s="116" t="s">
        <v>92</v>
      </c>
      <c r="D7" s="3"/>
      <c r="E7" s="3" t="s">
        <v>40</v>
      </c>
      <c r="F7" s="2"/>
      <c r="G7" s="2"/>
      <c r="H7" s="100"/>
      <c r="I7" s="100"/>
      <c r="J7" s="103"/>
      <c r="K7" s="103"/>
      <c r="L7" s="103"/>
      <c r="M7" s="103"/>
      <c r="N7" s="103"/>
      <c r="O7" s="103"/>
      <c r="P7" s="104"/>
      <c r="Q7" s="104"/>
      <c r="R7" s="104"/>
      <c r="S7" s="104"/>
      <c r="T7" s="104"/>
      <c r="U7" s="92"/>
      <c r="V7" s="91"/>
      <c r="W7" s="91"/>
      <c r="X7" s="91"/>
    </row>
    <row r="8" spans="1:24" x14ac:dyDescent="0.2">
      <c r="A8" s="9" t="s">
        <v>60</v>
      </c>
      <c r="B8" s="111">
        <v>2.0960000000000001</v>
      </c>
      <c r="C8" s="50">
        <v>4</v>
      </c>
      <c r="D8" s="51">
        <f>B8*C8*B$23</f>
        <v>7.8575445173383311</v>
      </c>
      <c r="E8" s="50">
        <f>ROUND(B8*B$23,3)</f>
        <v>1.964</v>
      </c>
      <c r="F8" s="52"/>
      <c r="G8" s="52"/>
      <c r="H8" s="105"/>
      <c r="I8" s="105"/>
      <c r="J8" s="103"/>
      <c r="K8" s="103"/>
      <c r="L8" s="103"/>
      <c r="M8" s="103"/>
      <c r="N8" s="103"/>
      <c r="O8" s="103"/>
      <c r="P8" s="104"/>
      <c r="Q8" s="104"/>
      <c r="R8" s="104"/>
      <c r="S8" s="104"/>
      <c r="T8" s="104"/>
      <c r="U8" s="92"/>
      <c r="V8" s="91"/>
      <c r="W8" s="91"/>
      <c r="X8" s="91"/>
    </row>
    <row r="9" spans="1:24" x14ac:dyDescent="0.2">
      <c r="A9" s="9" t="s">
        <v>61</v>
      </c>
      <c r="B9" s="112">
        <v>2.3E-2</v>
      </c>
      <c r="C9" s="50">
        <v>4</v>
      </c>
      <c r="D9" s="51">
        <f t="shared" ref="D9:D18" si="0">B9*C9*B$23</f>
        <v>8.622305529522023E-2</v>
      </c>
      <c r="E9" s="50">
        <f>ROUND(B9*B$23,3)</f>
        <v>2.1999999999999999E-2</v>
      </c>
      <c r="F9" s="52"/>
      <c r="G9" s="52"/>
      <c r="H9" s="105"/>
      <c r="I9" s="105"/>
      <c r="J9" s="103"/>
      <c r="K9" s="103"/>
      <c r="L9" s="103"/>
      <c r="M9" s="103"/>
      <c r="N9" s="103"/>
      <c r="O9" s="103"/>
      <c r="P9" s="104"/>
      <c r="Q9" s="104"/>
      <c r="R9" s="104"/>
      <c r="S9" s="104"/>
      <c r="T9" s="104"/>
      <c r="U9" s="92"/>
      <c r="V9" s="91"/>
      <c r="W9" s="91"/>
      <c r="X9" s="91"/>
    </row>
    <row r="10" spans="1:24" x14ac:dyDescent="0.2">
      <c r="A10" s="9" t="s">
        <v>62</v>
      </c>
      <c r="B10" s="112">
        <v>8.7999999999999995E-2</v>
      </c>
      <c r="C10" s="50">
        <v>3</v>
      </c>
      <c r="D10" s="51">
        <f t="shared" si="0"/>
        <v>0.24742268041237112</v>
      </c>
      <c r="E10" s="50">
        <f>ROUND(B10*B$23,3)</f>
        <v>8.2000000000000003E-2</v>
      </c>
      <c r="F10" s="52"/>
      <c r="G10" s="52"/>
      <c r="H10" s="105"/>
      <c r="I10" s="105"/>
      <c r="J10" s="103"/>
      <c r="K10" s="103"/>
      <c r="L10" s="103"/>
      <c r="M10" s="103"/>
      <c r="N10" s="103"/>
      <c r="O10" s="103"/>
      <c r="P10" s="104"/>
      <c r="Q10" s="104"/>
      <c r="R10" s="104"/>
      <c r="S10" s="104"/>
      <c r="T10" s="104"/>
      <c r="U10" s="92"/>
      <c r="V10" s="91"/>
      <c r="W10" s="91"/>
      <c r="X10" s="91"/>
    </row>
    <row r="11" spans="1:24" x14ac:dyDescent="0.2">
      <c r="A11" s="9" t="s">
        <v>63</v>
      </c>
      <c r="B11" s="112">
        <v>0</v>
      </c>
      <c r="C11" s="50">
        <v>3</v>
      </c>
      <c r="D11" s="51">
        <f t="shared" si="0"/>
        <v>0</v>
      </c>
      <c r="E11" s="50">
        <f>ROUND((B21*2)-D19,3)</f>
        <v>0.754</v>
      </c>
      <c r="F11" s="44"/>
      <c r="G11" s="52"/>
      <c r="H11" s="105"/>
      <c r="I11" s="105"/>
      <c r="J11" s="103"/>
      <c r="K11" s="103"/>
      <c r="L11" s="103"/>
      <c r="M11" s="103"/>
      <c r="N11" s="103"/>
      <c r="O11" s="103"/>
      <c r="P11" s="104"/>
      <c r="Q11" s="104"/>
      <c r="R11" s="104"/>
      <c r="S11" s="104"/>
      <c r="T11" s="104"/>
      <c r="U11" s="92"/>
      <c r="V11" s="91"/>
      <c r="W11" s="91"/>
      <c r="X11" s="91"/>
    </row>
    <row r="12" spans="1:24" x14ac:dyDescent="0.2">
      <c r="A12" s="9" t="s">
        <v>64</v>
      </c>
      <c r="B12" s="112">
        <v>0.82699999999999996</v>
      </c>
      <c r="C12" s="50">
        <v>2</v>
      </c>
      <c r="D12" s="51">
        <f t="shared" si="0"/>
        <v>1.5501405810684159</v>
      </c>
      <c r="E12" s="50">
        <f>ROUND((B12*B23)-E11,3)</f>
        <v>2.1000000000000001E-2</v>
      </c>
      <c r="F12" s="52"/>
      <c r="G12" s="52"/>
      <c r="H12" s="105"/>
      <c r="I12" s="105"/>
      <c r="J12" s="103"/>
      <c r="K12" s="103"/>
      <c r="L12" s="103"/>
      <c r="M12" s="103"/>
      <c r="N12" s="103"/>
      <c r="O12" s="103"/>
      <c r="P12" s="104"/>
      <c r="Q12" s="104"/>
      <c r="R12" s="104"/>
      <c r="S12" s="104"/>
      <c r="T12" s="104"/>
      <c r="U12" s="92"/>
      <c r="V12" s="91"/>
      <c r="W12" s="91"/>
      <c r="X12" s="91"/>
    </row>
    <row r="13" spans="1:24" x14ac:dyDescent="0.2">
      <c r="A13" s="9" t="s">
        <v>65</v>
      </c>
      <c r="B13" s="112">
        <v>0.01</v>
      </c>
      <c r="C13" s="50">
        <v>2</v>
      </c>
      <c r="D13" s="51">
        <f t="shared" si="0"/>
        <v>1.874414245548266E-2</v>
      </c>
      <c r="E13" s="50">
        <f t="shared" ref="E13:E18" si="1">ROUND(B13*B$23,3)</f>
        <v>8.9999999999999993E-3</v>
      </c>
      <c r="F13" s="52"/>
      <c r="G13" s="52"/>
      <c r="H13" s="105"/>
      <c r="I13" s="105"/>
      <c r="J13" s="103"/>
      <c r="K13" s="103"/>
      <c r="L13" s="103"/>
      <c r="M13" s="103"/>
      <c r="N13" s="103"/>
      <c r="O13" s="103"/>
      <c r="P13" s="104"/>
      <c r="Q13" s="104"/>
      <c r="R13" s="104"/>
      <c r="S13" s="104"/>
      <c r="T13" s="104"/>
      <c r="U13" s="92"/>
      <c r="V13" s="91"/>
      <c r="W13" s="91"/>
      <c r="X13" s="91"/>
    </row>
    <row r="14" spans="1:24" x14ac:dyDescent="0.2">
      <c r="A14" s="9" t="s">
        <v>66</v>
      </c>
      <c r="B14" s="112">
        <v>0.16800000000000001</v>
      </c>
      <c r="C14" s="50">
        <v>2</v>
      </c>
      <c r="D14" s="51">
        <f t="shared" si="0"/>
        <v>0.3149015932521087</v>
      </c>
      <c r="E14" s="50">
        <f t="shared" si="1"/>
        <v>0.157</v>
      </c>
      <c r="F14" s="52"/>
      <c r="G14" s="52"/>
      <c r="H14" s="105"/>
      <c r="I14" s="105"/>
      <c r="J14" s="103"/>
      <c r="K14" s="103"/>
      <c r="L14" s="103"/>
      <c r="M14" s="103"/>
      <c r="N14" s="103"/>
      <c r="O14" s="103"/>
      <c r="P14" s="104"/>
      <c r="Q14" s="104"/>
      <c r="R14" s="104"/>
      <c r="S14" s="104"/>
      <c r="T14" s="104"/>
      <c r="U14" s="92"/>
      <c r="V14" s="91"/>
      <c r="W14" s="91"/>
      <c r="X14" s="91"/>
    </row>
    <row r="15" spans="1:24" x14ac:dyDescent="0.2">
      <c r="A15" s="9" t="s">
        <v>67</v>
      </c>
      <c r="B15" s="112">
        <v>0.193</v>
      </c>
      <c r="C15" s="50">
        <v>2</v>
      </c>
      <c r="D15" s="51">
        <f t="shared" si="0"/>
        <v>0.36176194939081535</v>
      </c>
      <c r="E15" s="50">
        <f t="shared" si="1"/>
        <v>0.18099999999999999</v>
      </c>
      <c r="F15" s="52"/>
      <c r="G15" s="52"/>
      <c r="H15" s="105"/>
      <c r="I15" s="105"/>
      <c r="J15" s="103"/>
      <c r="K15" s="103"/>
      <c r="L15" s="103"/>
      <c r="M15" s="103"/>
      <c r="N15" s="103"/>
      <c r="O15" s="103"/>
      <c r="P15" s="104"/>
      <c r="Q15" s="104"/>
      <c r="R15" s="104"/>
      <c r="S15" s="104"/>
      <c r="T15" s="104"/>
      <c r="U15" s="92"/>
      <c r="V15" s="91"/>
      <c r="W15" s="91"/>
      <c r="X15" s="91"/>
    </row>
    <row r="16" spans="1:24" x14ac:dyDescent="0.2">
      <c r="A16" s="9" t="s">
        <v>68</v>
      </c>
      <c r="B16" s="112">
        <v>0.86</v>
      </c>
      <c r="C16" s="50">
        <v>1</v>
      </c>
      <c r="D16" s="51">
        <f t="shared" si="0"/>
        <v>0.80599812558575434</v>
      </c>
      <c r="E16" s="50">
        <f t="shared" si="1"/>
        <v>0.80600000000000005</v>
      </c>
      <c r="F16" s="52"/>
      <c r="G16" s="52"/>
      <c r="H16" s="105"/>
      <c r="I16" s="105"/>
      <c r="J16" s="103"/>
      <c r="K16" s="103"/>
      <c r="L16" s="103"/>
      <c r="M16" s="103"/>
      <c r="N16" s="103"/>
      <c r="O16" s="103"/>
      <c r="P16" s="104"/>
      <c r="Q16" s="104"/>
      <c r="R16" s="104"/>
      <c r="S16" s="104"/>
      <c r="T16" s="104"/>
      <c r="U16" s="92"/>
      <c r="V16" s="91"/>
      <c r="W16" s="91"/>
      <c r="X16" s="91"/>
    </row>
    <row r="17" spans="1:24" x14ac:dyDescent="0.2">
      <c r="A17" s="9" t="s">
        <v>69</v>
      </c>
      <c r="B17" s="112">
        <v>3.0000000000000001E-3</v>
      </c>
      <c r="C17" s="50">
        <v>1</v>
      </c>
      <c r="D17" s="51">
        <f t="shared" si="0"/>
        <v>2.8116213683223989E-3</v>
      </c>
      <c r="E17" s="50">
        <f t="shared" si="1"/>
        <v>3.0000000000000001E-3</v>
      </c>
      <c r="F17" s="52"/>
      <c r="G17" s="52"/>
      <c r="H17" s="105"/>
      <c r="I17" s="105"/>
      <c r="J17" s="103"/>
      <c r="K17" s="103"/>
      <c r="L17" s="103"/>
      <c r="M17" s="103"/>
      <c r="N17" s="103"/>
      <c r="O17" s="103"/>
      <c r="P17" s="104"/>
      <c r="Q17" s="104"/>
      <c r="R17" s="104"/>
      <c r="S17" s="104"/>
      <c r="T17" s="104"/>
      <c r="U17" s="92"/>
      <c r="V17" s="91"/>
      <c r="W17" s="91"/>
      <c r="X17" s="91"/>
    </row>
    <row r="18" spans="1:24" x14ac:dyDescent="0.2">
      <c r="A18" s="1" t="s">
        <v>70</v>
      </c>
      <c r="B18" s="113">
        <v>0</v>
      </c>
      <c r="C18" s="55">
        <v>5</v>
      </c>
      <c r="D18" s="56">
        <f t="shared" si="0"/>
        <v>0</v>
      </c>
      <c r="E18" s="55">
        <f t="shared" si="1"/>
        <v>0</v>
      </c>
      <c r="F18" s="52"/>
      <c r="G18" s="52"/>
      <c r="H18" s="105"/>
      <c r="I18" s="105"/>
      <c r="J18" s="103"/>
      <c r="K18" s="103"/>
      <c r="L18" s="103"/>
      <c r="M18" s="103"/>
      <c r="N18" s="103"/>
      <c r="O18" s="103"/>
      <c r="P18" s="104"/>
      <c r="Q18" s="104"/>
      <c r="R18" s="104"/>
      <c r="S18" s="104"/>
      <c r="T18" s="104"/>
      <c r="U18" s="104"/>
      <c r="V18" s="91"/>
      <c r="W18" s="91"/>
      <c r="X18" s="91"/>
    </row>
    <row r="19" spans="1:24" x14ac:dyDescent="0.2">
      <c r="A19" s="9" t="s">
        <v>71</v>
      </c>
      <c r="B19" s="57">
        <f>SUM(B8:B18)</f>
        <v>4.2680000000000007</v>
      </c>
      <c r="C19" s="50"/>
      <c r="D19" s="51">
        <f>SUM(D8:D18)</f>
        <v>11.245548266166821</v>
      </c>
      <c r="E19" s="50">
        <f>SUM(E8:E18)</f>
        <v>3.9990000000000001</v>
      </c>
      <c r="F19" s="8"/>
      <c r="G19" s="52"/>
      <c r="H19" s="105"/>
      <c r="I19" s="105"/>
      <c r="J19" s="92"/>
      <c r="K19" s="92"/>
      <c r="L19" s="92"/>
      <c r="M19" s="92"/>
      <c r="N19" s="92"/>
      <c r="O19" s="92"/>
      <c r="P19" s="92"/>
      <c r="Q19" s="92"/>
      <c r="R19" s="92"/>
      <c r="S19" s="92"/>
      <c r="T19" s="92"/>
      <c r="U19" s="92"/>
      <c r="V19" s="91"/>
      <c r="W19" s="91"/>
      <c r="X19" s="91"/>
    </row>
    <row r="20" spans="1:24" x14ac:dyDescent="0.2">
      <c r="A20" s="9"/>
      <c r="B20" s="118"/>
      <c r="C20" s="90"/>
      <c r="D20" s="118"/>
      <c r="E20" s="90"/>
      <c r="F20" s="8"/>
      <c r="G20" s="52"/>
      <c r="H20" s="105"/>
      <c r="I20" s="105"/>
      <c r="J20" s="92"/>
      <c r="K20" s="92"/>
      <c r="L20" s="92"/>
      <c r="M20" s="92"/>
      <c r="N20" s="92"/>
      <c r="O20" s="92"/>
      <c r="P20" s="92"/>
      <c r="Q20" s="92"/>
      <c r="R20" s="92"/>
      <c r="S20" s="92"/>
      <c r="T20" s="92"/>
      <c r="U20" s="92"/>
      <c r="V20" s="91"/>
      <c r="W20" s="91"/>
      <c r="X20" s="91"/>
    </row>
    <row r="21" spans="1:24" x14ac:dyDescent="0.2">
      <c r="A21" s="9" t="s">
        <v>81</v>
      </c>
      <c r="B21" s="120">
        <v>6</v>
      </c>
      <c r="C21" s="44" t="s">
        <v>73</v>
      </c>
      <c r="D21" s="44"/>
      <c r="E21" s="44"/>
      <c r="F21" s="44"/>
      <c r="G21" s="44"/>
      <c r="H21" s="91"/>
      <c r="I21" s="91"/>
      <c r="J21" s="92"/>
      <c r="K21" s="92"/>
      <c r="L21" s="92"/>
      <c r="M21" s="92"/>
      <c r="N21" s="92"/>
      <c r="O21" s="92"/>
      <c r="P21" s="92"/>
      <c r="Q21" s="103"/>
      <c r="R21" s="92"/>
      <c r="S21" s="92"/>
      <c r="T21" s="92"/>
      <c r="U21" s="92"/>
      <c r="V21" s="91"/>
      <c r="W21" s="91"/>
      <c r="X21" s="91"/>
    </row>
    <row r="22" spans="1:24" x14ac:dyDescent="0.2">
      <c r="A22" s="9" t="s">
        <v>82</v>
      </c>
      <c r="B22" s="121">
        <v>4</v>
      </c>
      <c r="C22" s="44" t="s">
        <v>73</v>
      </c>
      <c r="D22" s="44"/>
      <c r="E22" s="44"/>
      <c r="F22" s="44"/>
      <c r="G22" s="44"/>
      <c r="H22" s="91"/>
      <c r="I22" s="91"/>
      <c r="J22" s="92"/>
      <c r="K22" s="92"/>
      <c r="L22" s="92"/>
      <c r="M22" s="92"/>
      <c r="N22" s="92"/>
      <c r="O22" s="92"/>
      <c r="P22" s="92"/>
      <c r="Q22" s="92"/>
      <c r="R22" s="92"/>
      <c r="S22" s="104"/>
      <c r="T22" s="92"/>
      <c r="U22" s="92"/>
      <c r="V22" s="91"/>
      <c r="W22" s="91"/>
      <c r="X22" s="91"/>
    </row>
    <row r="23" spans="1:24" x14ac:dyDescent="0.2">
      <c r="A23" s="9"/>
      <c r="B23" s="119">
        <f>B22/B19</f>
        <v>0.93720712277413298</v>
      </c>
      <c r="C23" s="44" t="s">
        <v>93</v>
      </c>
      <c r="D23" s="44"/>
      <c r="E23" s="44"/>
      <c r="F23" s="44"/>
      <c r="G23" s="44"/>
      <c r="H23" s="91"/>
      <c r="I23" s="91"/>
      <c r="J23" s="92"/>
      <c r="K23" s="92"/>
      <c r="L23" s="92"/>
      <c r="M23" s="92"/>
      <c r="N23" s="103"/>
      <c r="O23" s="92"/>
      <c r="P23" s="92"/>
      <c r="Q23" s="92"/>
      <c r="R23" s="92"/>
      <c r="S23" s="92"/>
      <c r="T23" s="92"/>
      <c r="U23" s="92"/>
      <c r="V23" s="91"/>
      <c r="W23" s="91"/>
      <c r="X23" s="91"/>
    </row>
    <row r="24" spans="1:24" x14ac:dyDescent="0.2">
      <c r="A24" s="44"/>
      <c r="B24" s="44"/>
      <c r="C24" s="44"/>
      <c r="D24" s="44"/>
      <c r="E24" s="44"/>
      <c r="F24" s="44"/>
      <c r="G24" s="44"/>
      <c r="H24" s="93"/>
      <c r="I24" s="91"/>
      <c r="J24" s="91"/>
      <c r="K24" s="91"/>
      <c r="L24" s="91"/>
      <c r="M24" s="91"/>
      <c r="N24" s="91"/>
      <c r="O24" s="91"/>
      <c r="P24" s="91"/>
      <c r="Q24" s="91"/>
      <c r="R24" s="91"/>
      <c r="S24" s="91"/>
      <c r="T24" s="91"/>
      <c r="U24" s="91"/>
      <c r="V24" s="91"/>
      <c r="W24" s="91"/>
      <c r="X24" s="91"/>
    </row>
    <row r="25" spans="1:24" x14ac:dyDescent="0.2">
      <c r="A25" s="44"/>
      <c r="B25" s="44"/>
      <c r="C25" s="44"/>
      <c r="D25" s="44"/>
      <c r="E25" s="44"/>
      <c r="F25" s="44"/>
      <c r="G25" s="44"/>
      <c r="H25" s="93"/>
      <c r="I25" s="91"/>
      <c r="J25" s="91"/>
      <c r="K25" s="91"/>
      <c r="L25" s="91"/>
      <c r="M25" s="91"/>
      <c r="N25" s="91"/>
      <c r="O25" s="91"/>
      <c r="P25" s="91"/>
      <c r="Q25" s="91"/>
      <c r="R25" s="91"/>
      <c r="S25" s="91"/>
      <c r="T25" s="91"/>
      <c r="U25" s="91"/>
      <c r="V25" s="91"/>
      <c r="W25" s="91"/>
      <c r="X25" s="91"/>
    </row>
    <row r="26" spans="1:24" x14ac:dyDescent="0.2">
      <c r="A26" s="44"/>
      <c r="B26" s="44"/>
      <c r="C26" s="44"/>
      <c r="D26" s="44"/>
      <c r="E26" s="44"/>
      <c r="F26" s="44"/>
      <c r="G26" s="44"/>
      <c r="H26" s="93"/>
      <c r="I26" s="91"/>
      <c r="J26" s="91"/>
      <c r="K26" s="91"/>
      <c r="L26" s="91"/>
      <c r="M26" s="91"/>
      <c r="N26" s="91"/>
      <c r="O26" s="91"/>
      <c r="P26" s="91"/>
      <c r="Q26" s="91"/>
      <c r="R26" s="91"/>
      <c r="S26" s="91"/>
      <c r="T26" s="91"/>
      <c r="U26" s="91"/>
      <c r="V26" s="91"/>
      <c r="W26" s="91"/>
      <c r="X26" s="91"/>
    </row>
    <row r="27" spans="1:24" x14ac:dyDescent="0.2">
      <c r="H27" s="93"/>
      <c r="I27" s="91"/>
      <c r="J27" s="91"/>
      <c r="K27" s="91"/>
      <c r="L27" s="91"/>
      <c r="M27" s="91"/>
      <c r="N27" s="91"/>
      <c r="O27" s="91"/>
      <c r="P27" s="91"/>
      <c r="Q27" s="91"/>
      <c r="R27" s="91"/>
      <c r="S27" s="91"/>
      <c r="T27" s="91"/>
      <c r="U27" s="91"/>
      <c r="V27" s="91"/>
      <c r="W27" s="91"/>
      <c r="X27" s="91"/>
    </row>
    <row r="28" spans="1:24" x14ac:dyDescent="0.2">
      <c r="H28" s="93"/>
      <c r="I28" s="91"/>
      <c r="J28" s="91"/>
      <c r="K28" s="91"/>
      <c r="L28" s="91"/>
      <c r="M28" s="91"/>
      <c r="N28" s="91"/>
      <c r="O28" s="91"/>
      <c r="P28" s="91"/>
      <c r="Q28" s="91"/>
      <c r="R28" s="91"/>
      <c r="S28" s="91"/>
      <c r="T28" s="91"/>
      <c r="U28" s="91"/>
      <c r="V28" s="91"/>
      <c r="W28" s="91"/>
      <c r="X28" s="91"/>
    </row>
    <row r="29" spans="1:24" x14ac:dyDescent="0.2">
      <c r="H29" s="93"/>
      <c r="I29" s="91"/>
      <c r="J29" s="91"/>
      <c r="K29" s="91"/>
      <c r="L29" s="91"/>
      <c r="M29" s="91"/>
      <c r="N29" s="91"/>
      <c r="O29" s="91"/>
      <c r="P29" s="91"/>
      <c r="Q29" s="91"/>
      <c r="R29" s="91"/>
      <c r="S29" s="91"/>
      <c r="T29" s="91"/>
      <c r="U29" s="91"/>
      <c r="V29" s="91"/>
      <c r="W29" s="91"/>
      <c r="X29" s="91"/>
    </row>
    <row r="30" spans="1:24" x14ac:dyDescent="0.2">
      <c r="B30" s="2"/>
      <c r="C30" s="2"/>
      <c r="D30" s="2"/>
      <c r="E30" s="2"/>
      <c r="H30" s="93"/>
      <c r="I30" s="93"/>
      <c r="J30" s="93"/>
      <c r="K30" s="93"/>
      <c r="L30" s="93"/>
      <c r="M30" s="93"/>
      <c r="N30" s="93"/>
      <c r="O30" s="93"/>
      <c r="P30" s="93"/>
      <c r="Q30" s="93"/>
      <c r="R30" s="93"/>
      <c r="S30" s="93"/>
      <c r="T30" s="93"/>
      <c r="U30" s="93"/>
      <c r="V30" s="93"/>
      <c r="W30" s="93"/>
      <c r="X30" s="93"/>
    </row>
    <row r="31" spans="1:24" x14ac:dyDescent="0.2">
      <c r="A31" s="44"/>
      <c r="B31" s="2"/>
      <c r="C31" s="2"/>
      <c r="D31" s="2"/>
      <c r="E31" s="2"/>
      <c r="F31" s="44"/>
      <c r="H31" s="93"/>
      <c r="I31" s="93"/>
      <c r="J31" s="93"/>
      <c r="K31" s="93"/>
      <c r="L31" s="93"/>
      <c r="M31" s="93"/>
      <c r="N31" s="93"/>
      <c r="O31" s="93"/>
      <c r="P31" s="93"/>
      <c r="Q31" s="93"/>
      <c r="R31" s="93"/>
      <c r="S31" s="93"/>
      <c r="T31" s="93"/>
      <c r="U31" s="93"/>
      <c r="V31" s="93"/>
      <c r="W31" s="93"/>
      <c r="X31" s="93"/>
    </row>
    <row r="32" spans="1:24" x14ac:dyDescent="0.2">
      <c r="A32" s="44"/>
      <c r="B32" s="2"/>
      <c r="C32" s="2"/>
      <c r="D32" s="2"/>
      <c r="E32" s="2"/>
      <c r="F32" s="44"/>
      <c r="H32" s="93"/>
      <c r="I32" s="93"/>
      <c r="J32" s="93"/>
      <c r="K32" s="93"/>
      <c r="L32" s="93"/>
      <c r="M32" s="93"/>
      <c r="N32" s="93"/>
      <c r="O32" s="93"/>
      <c r="P32" s="93"/>
      <c r="Q32" s="93"/>
      <c r="R32" s="93"/>
      <c r="S32" s="93"/>
      <c r="T32" s="93"/>
      <c r="U32" s="93"/>
      <c r="V32" s="93"/>
      <c r="W32" s="93"/>
      <c r="X32" s="93"/>
    </row>
    <row r="33" spans="1:24" x14ac:dyDescent="0.2">
      <c r="A33" s="44"/>
      <c r="B33" s="44"/>
      <c r="C33" s="44"/>
      <c r="D33" s="44"/>
      <c r="E33" s="44"/>
      <c r="F33" s="44"/>
      <c r="H33" s="93"/>
      <c r="I33" s="93"/>
      <c r="J33" s="93"/>
      <c r="K33" s="93"/>
      <c r="L33" s="93"/>
      <c r="M33" s="93"/>
      <c r="N33" s="93"/>
      <c r="O33" s="93"/>
      <c r="P33" s="93"/>
      <c r="Q33" s="93"/>
      <c r="R33" s="93"/>
      <c r="S33" s="93"/>
      <c r="T33" s="93"/>
      <c r="U33" s="93"/>
      <c r="V33" s="93"/>
      <c r="W33" s="93"/>
      <c r="X33" s="93"/>
    </row>
    <row r="34" spans="1:24" x14ac:dyDescent="0.2">
      <c r="A34" s="44"/>
      <c r="B34" s="44"/>
      <c r="C34" s="44"/>
      <c r="D34" s="44"/>
      <c r="E34" s="44"/>
      <c r="F34" s="44"/>
      <c r="H34" s="93"/>
      <c r="I34" s="93"/>
      <c r="J34" s="93"/>
      <c r="K34" s="93"/>
      <c r="L34" s="93"/>
      <c r="M34" s="93"/>
      <c r="N34" s="93"/>
      <c r="O34" s="93"/>
      <c r="P34" s="93"/>
      <c r="Q34" s="93"/>
      <c r="R34" s="93"/>
      <c r="S34" s="93"/>
      <c r="T34" s="93"/>
      <c r="U34" s="93"/>
      <c r="V34" s="93"/>
      <c r="W34" s="93"/>
      <c r="X34" s="93"/>
    </row>
    <row r="35" spans="1:24" x14ac:dyDescent="0.2">
      <c r="A35" s="44"/>
      <c r="B35" s="44"/>
      <c r="C35" s="44"/>
      <c r="D35" s="44"/>
      <c r="E35" s="44"/>
      <c r="F35" s="44"/>
    </row>
  </sheetData>
  <mergeCells count="2">
    <mergeCell ref="A1:F1"/>
    <mergeCell ref="B3:C3"/>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Volume</vt:lpstr>
      <vt:lpstr>Density</vt:lpstr>
      <vt:lpstr>Formula</vt:lpstr>
      <vt:lpstr>Weight</vt:lpstr>
      <vt:lpstr>Ferric iron wt</vt:lpstr>
      <vt:lpstr>Ferric iron cat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Hollocher, Kurt</dc:creator>
  <cp:lastModifiedBy>HP-User</cp:lastModifiedBy>
  <dcterms:created xsi:type="dcterms:W3CDTF">2000-01-17T20:56:02Z</dcterms:created>
  <dcterms:modified xsi:type="dcterms:W3CDTF">2021-12-14T22:47:34Z</dcterms:modified>
</cp:coreProperties>
</file>